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C6D83335-1A21-48B1-9BBC-7F1621649B9F}" xr6:coauthVersionLast="47" xr6:coauthVersionMax="47" xr10:uidLastSave="{00000000-0000-0000-0000-000000000000}"/>
  <bookViews>
    <workbookView xWindow="-110" yWindow="-110" windowWidth="19420" windowHeight="10300" tabRatio="715" firstSheet="1" activeTab="1" xr2:uid="{00000000-000D-0000-FFFF-FFFF00000000}"/>
  </bookViews>
  <sheets>
    <sheet name="1A Activity table for invoi (2)" sheetId="19" state="hidden" r:id="rId1"/>
    <sheet name="Detail Budget" sheetId="25" r:id="rId2"/>
    <sheet name="Revised" sheetId="22" state="hidden" r:id="rId3"/>
    <sheet name="Summary" sheetId="23" state="hidden" r:id="rId4"/>
    <sheet name="V5" sheetId="20" state="hidden" r:id="rId5"/>
    <sheet name="1D Project governance" sheetId="14" state="hidden" r:id="rId6"/>
    <sheet name="1E stakeholders" sheetId="16" state="hidden" r:id="rId7"/>
    <sheet name="Risk mapping" sheetId="15" state="hidden" r:id="rId8"/>
    <sheet name="Deliverables" sheetId="11" state="hidden" r:id="rId9"/>
  </sheets>
  <definedNames>
    <definedName name="a">#REF!</definedName>
    <definedName name="Agro">#REF!</definedName>
    <definedName name="comparison">#REF!</definedName>
    <definedName name="EUR">#REF!</definedName>
    <definedName name="exchrate">#REF!</definedName>
    <definedName name="exchrate1">#REF!</definedName>
    <definedName name="Fiscal_Sets">#REF!</definedName>
    <definedName name="Fiscel_sets_2">#REF!</definedName>
    <definedName name="ghc">#REF!</definedName>
    <definedName name="Spec">#REF!</definedName>
    <definedName name="spec2">#REF!</definedName>
    <definedName name="spec3">#REF!</definedName>
    <definedName name="USD">#REF!</definedName>
    <definedName name="xttttt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5" l="1"/>
  <c r="I34" i="25"/>
  <c r="I35" i="25"/>
  <c r="I36" i="25"/>
  <c r="I37" i="25"/>
  <c r="I38" i="25"/>
  <c r="I39" i="25"/>
  <c r="I40" i="25"/>
  <c r="I41" i="25"/>
  <c r="I42" i="25"/>
  <c r="I44" i="25"/>
  <c r="I45" i="25"/>
  <c r="I46" i="25"/>
  <c r="I47" i="25"/>
  <c r="I48" i="25"/>
  <c r="I49" i="25"/>
  <c r="I50" i="25"/>
  <c r="I51" i="25"/>
  <c r="I52" i="25"/>
  <c r="I57" i="25"/>
  <c r="I60" i="25"/>
  <c r="G6" i="25"/>
  <c r="I6" i="25" s="1"/>
  <c r="H10" i="25"/>
  <c r="I10" i="25" s="1"/>
  <c r="H9" i="25"/>
  <c r="I9" i="25" s="1"/>
  <c r="H11" i="25"/>
  <c r="I11" i="25" s="1"/>
  <c r="I53" i="25" l="1"/>
  <c r="H12" i="25"/>
  <c r="J46" i="25" l="1"/>
  <c r="L46" i="25" s="1"/>
  <c r="N46" i="25"/>
  <c r="G23" i="25"/>
  <c r="I23" i="25" s="1"/>
  <c r="N23" i="25"/>
  <c r="K58" i="25"/>
  <c r="H58" i="25"/>
  <c r="K53" i="25"/>
  <c r="H53" i="25"/>
  <c r="K42" i="25"/>
  <c r="H42" i="25"/>
  <c r="K32" i="25"/>
  <c r="H32" i="25"/>
  <c r="K19" i="25"/>
  <c r="N35" i="25"/>
  <c r="G31" i="25"/>
  <c r="I31" i="25" s="1"/>
  <c r="N31" i="25"/>
  <c r="N24" i="25"/>
  <c r="G24" i="25"/>
  <c r="I24" i="25" s="1"/>
  <c r="M46" i="25" l="1"/>
  <c r="O46" i="25" s="1"/>
  <c r="J24" i="25"/>
  <c r="L24" i="25" s="1"/>
  <c r="J23" i="25"/>
  <c r="L23" i="25" s="1"/>
  <c r="M23" i="25"/>
  <c r="O23" i="25" s="1"/>
  <c r="J35" i="25"/>
  <c r="L35" i="25" s="1"/>
  <c r="J31" i="25"/>
  <c r="L31" i="25" s="1"/>
  <c r="M24" i="25" l="1"/>
  <c r="O24" i="25" s="1"/>
  <c r="M35" i="25"/>
  <c r="O35" i="25" s="1"/>
  <c r="M31" i="25"/>
  <c r="O31" i="25" s="1"/>
  <c r="N50" i="25" l="1"/>
  <c r="N49" i="25"/>
  <c r="N48" i="25"/>
  <c r="N47" i="25"/>
  <c r="N45" i="25"/>
  <c r="N28" i="25"/>
  <c r="G28" i="25"/>
  <c r="I28" i="25" s="1"/>
  <c r="N27" i="25"/>
  <c r="G27" i="25"/>
  <c r="I27" i="25" s="1"/>
  <c r="N26" i="25"/>
  <c r="G26" i="25"/>
  <c r="I26" i="25" s="1"/>
  <c r="N25" i="25"/>
  <c r="G25" i="25"/>
  <c r="H19" i="25"/>
  <c r="N18" i="25"/>
  <c r="G18" i="25"/>
  <c r="I18" i="25" s="1"/>
  <c r="G22" i="25"/>
  <c r="I22" i="25" s="1"/>
  <c r="N22" i="25"/>
  <c r="N60" i="25"/>
  <c r="J60" i="25"/>
  <c r="M60" i="25" s="1"/>
  <c r="N57" i="25"/>
  <c r="J57" i="25"/>
  <c r="L57" i="25" s="1"/>
  <c r="N56" i="25"/>
  <c r="G56" i="25"/>
  <c r="N55" i="25"/>
  <c r="L55" i="25"/>
  <c r="G55" i="25"/>
  <c r="I55" i="25" s="1"/>
  <c r="N52" i="25"/>
  <c r="N51" i="25"/>
  <c r="J51" i="25"/>
  <c r="L51" i="25" s="1"/>
  <c r="N44" i="25"/>
  <c r="O41" i="25"/>
  <c r="L41" i="25"/>
  <c r="O40" i="25"/>
  <c r="L40" i="25"/>
  <c r="O39" i="25"/>
  <c r="L39" i="25"/>
  <c r="O38" i="25"/>
  <c r="L38" i="25"/>
  <c r="N37" i="25"/>
  <c r="J37" i="25"/>
  <c r="M37" i="25" s="1"/>
  <c r="N36" i="25"/>
  <c r="J36" i="25"/>
  <c r="L36" i="25" s="1"/>
  <c r="N34" i="25"/>
  <c r="G42" i="25"/>
  <c r="N30" i="25"/>
  <c r="G30" i="25"/>
  <c r="I30" i="25" s="1"/>
  <c r="N29" i="25"/>
  <c r="G29" i="25"/>
  <c r="I29" i="25" s="1"/>
  <c r="N21" i="25"/>
  <c r="G21" i="25"/>
  <c r="I21" i="25" s="1"/>
  <c r="N17" i="25"/>
  <c r="L17" i="25"/>
  <c r="G17" i="25"/>
  <c r="N16" i="25"/>
  <c r="L16" i="25"/>
  <c r="G16" i="25"/>
  <c r="I16" i="25" s="1"/>
  <c r="N15" i="25"/>
  <c r="L15" i="25"/>
  <c r="G15" i="25"/>
  <c r="I15" i="25" s="1"/>
  <c r="N14" i="25"/>
  <c r="G14" i="25"/>
  <c r="I14" i="25" s="1"/>
  <c r="M11" i="25"/>
  <c r="M10" i="25"/>
  <c r="M9" i="25"/>
  <c r="N8" i="25"/>
  <c r="M8" i="25"/>
  <c r="O8" i="25" s="1"/>
  <c r="L8" i="25"/>
  <c r="N7" i="25"/>
  <c r="G7" i="25"/>
  <c r="I7" i="25" s="1"/>
  <c r="I12" i="25" s="1"/>
  <c r="N6" i="25"/>
  <c r="N5" i="25"/>
  <c r="M5" i="25"/>
  <c r="M17" i="25" l="1"/>
  <c r="I17" i="25"/>
  <c r="I19" i="25"/>
  <c r="J56" i="25"/>
  <c r="M56" i="25" s="1"/>
  <c r="I56" i="25"/>
  <c r="I58" i="25" s="1"/>
  <c r="J25" i="25"/>
  <c r="M25" i="25" s="1"/>
  <c r="O25" i="25" s="1"/>
  <c r="I25" i="25"/>
  <c r="I32" i="25" s="1"/>
  <c r="G32" i="25"/>
  <c r="N32" i="25"/>
  <c r="J58" i="25"/>
  <c r="N58" i="25"/>
  <c r="G58" i="25"/>
  <c r="G53" i="25"/>
  <c r="N53" i="25"/>
  <c r="J6" i="25"/>
  <c r="G12" i="25"/>
  <c r="N42" i="25"/>
  <c r="G19" i="25"/>
  <c r="N19" i="25"/>
  <c r="J47" i="25"/>
  <c r="M47" i="25" s="1"/>
  <c r="J49" i="25"/>
  <c r="L49" i="25" s="1"/>
  <c r="J50" i="25"/>
  <c r="L50" i="25" s="1"/>
  <c r="J48" i="25"/>
  <c r="L48" i="25" s="1"/>
  <c r="J45" i="25"/>
  <c r="L45" i="25" s="1"/>
  <c r="J27" i="25"/>
  <c r="L27" i="25" s="1"/>
  <c r="J28" i="25"/>
  <c r="L28" i="25" s="1"/>
  <c r="J26" i="25"/>
  <c r="L26" i="25" s="1"/>
  <c r="J18" i="25"/>
  <c r="L18" i="25" s="1"/>
  <c r="J14" i="25"/>
  <c r="M16" i="25"/>
  <c r="J22" i="25"/>
  <c r="L22" i="25" s="1"/>
  <c r="J7" i="25"/>
  <c r="M7" i="25" s="1"/>
  <c r="O7" i="25" s="1"/>
  <c r="O5" i="25"/>
  <c r="K11" i="25"/>
  <c r="N11" i="25" s="1"/>
  <c r="O11" i="25" s="1"/>
  <c r="M55" i="25"/>
  <c r="M15" i="25"/>
  <c r="M57" i="25"/>
  <c r="J34" i="25"/>
  <c r="O60" i="25"/>
  <c r="K9" i="25"/>
  <c r="K10" i="25"/>
  <c r="L10" i="25" s="1"/>
  <c r="O37" i="25"/>
  <c r="O17" i="25"/>
  <c r="M51" i="25"/>
  <c r="J29" i="25"/>
  <c r="L29" i="25" s="1"/>
  <c r="J30" i="25"/>
  <c r="L60" i="25"/>
  <c r="J21" i="25"/>
  <c r="M36" i="25"/>
  <c r="J44" i="25"/>
  <c r="J52" i="25"/>
  <c r="L52" i="25" s="1"/>
  <c r="L37" i="25"/>
  <c r="J12" i="25" l="1"/>
  <c r="L25" i="25"/>
  <c r="L56" i="25"/>
  <c r="L58" i="25" s="1"/>
  <c r="K12" i="25"/>
  <c r="J53" i="25"/>
  <c r="M34" i="25"/>
  <c r="O34" i="25" s="1"/>
  <c r="J42" i="25"/>
  <c r="M6" i="25"/>
  <c r="O6" i="25" s="1"/>
  <c r="L6" i="25"/>
  <c r="J19" i="25"/>
  <c r="M58" i="25"/>
  <c r="O58" i="25" s="1"/>
  <c r="L30" i="25"/>
  <c r="J32" i="25"/>
  <c r="O47" i="25"/>
  <c r="L47" i="25"/>
  <c r="M49" i="25"/>
  <c r="M50" i="25"/>
  <c r="M45" i="25"/>
  <c r="O45" i="25" s="1"/>
  <c r="M48" i="25"/>
  <c r="M28" i="25"/>
  <c r="M27" i="25"/>
  <c r="M26" i="25"/>
  <c r="H61" i="25"/>
  <c r="H63" i="25" s="1"/>
  <c r="O16" i="25"/>
  <c r="M44" i="25"/>
  <c r="M14" i="25"/>
  <c r="M18" i="25"/>
  <c r="L14" i="25"/>
  <c r="L19" i="25" s="1"/>
  <c r="L11" i="25"/>
  <c r="M21" i="25"/>
  <c r="L7" i="25"/>
  <c r="O55" i="25"/>
  <c r="O15" i="25"/>
  <c r="M22" i="25"/>
  <c r="O22" i="25" s="1"/>
  <c r="O57" i="25"/>
  <c r="L34" i="25"/>
  <c r="L42" i="25" s="1"/>
  <c r="N10" i="25"/>
  <c r="O10" i="25" s="1"/>
  <c r="L9" i="25"/>
  <c r="N9" i="25"/>
  <c r="L44" i="25"/>
  <c r="L53" i="25" s="1"/>
  <c r="M29" i="25"/>
  <c r="G61" i="25"/>
  <c r="O56" i="25"/>
  <c r="M52" i="25"/>
  <c r="O51" i="25"/>
  <c r="O36" i="25"/>
  <c r="M30" i="25"/>
  <c r="L21" i="25"/>
  <c r="I61" i="25" l="1"/>
  <c r="M42" i="25"/>
  <c r="N12" i="25"/>
  <c r="M12" i="25"/>
  <c r="M53" i="25"/>
  <c r="H76" i="25" s="1"/>
  <c r="L12" i="25"/>
  <c r="M32" i="25"/>
  <c r="H74" i="25" s="1"/>
  <c r="H77" i="25"/>
  <c r="O14" i="25"/>
  <c r="M19" i="25"/>
  <c r="H72" i="25" s="1"/>
  <c r="L32" i="25"/>
  <c r="O49" i="25"/>
  <c r="O48" i="25"/>
  <c r="O50" i="25"/>
  <c r="O27" i="25"/>
  <c r="O28" i="25"/>
  <c r="O26" i="25"/>
  <c r="K61" i="25"/>
  <c r="K63" i="25" s="1"/>
  <c r="O44" i="25"/>
  <c r="O18" i="25"/>
  <c r="O21" i="25"/>
  <c r="O9" i="25"/>
  <c r="J61" i="25"/>
  <c r="O52" i="25"/>
  <c r="O29" i="25"/>
  <c r="O30" i="25"/>
  <c r="G62" i="25"/>
  <c r="I62" i="25" s="1"/>
  <c r="O42" i="25" l="1"/>
  <c r="H75" i="25"/>
  <c r="O12" i="25"/>
  <c r="O53" i="25"/>
  <c r="O19" i="25"/>
  <c r="O32" i="25"/>
  <c r="N61" i="25"/>
  <c r="N63" i="25" s="1"/>
  <c r="N68" i="25" s="1"/>
  <c r="N69" i="25" s="1"/>
  <c r="M61" i="25"/>
  <c r="M62" i="25" s="1"/>
  <c r="L61" i="25"/>
  <c r="J62" i="25"/>
  <c r="L62" i="25" s="1"/>
  <c r="G63" i="25"/>
  <c r="I63" i="25" s="1"/>
  <c r="H71" i="25" l="1"/>
  <c r="H78" i="25" s="1"/>
  <c r="O61" i="25"/>
  <c r="J63" i="25"/>
  <c r="L63" i="25" s="1"/>
  <c r="O62" i="25"/>
  <c r="M63" i="25"/>
  <c r="M68" i="25" l="1"/>
  <c r="M59" i="25"/>
  <c r="M4" i="25"/>
  <c r="O68" i="25"/>
  <c r="M13" i="25"/>
  <c r="M65" i="25"/>
  <c r="O63" i="25"/>
  <c r="M33" i="25"/>
  <c r="M20" i="25"/>
  <c r="M54" i="25"/>
  <c r="M43" i="25"/>
  <c r="M66" i="25" l="1"/>
  <c r="I66" i="25"/>
  <c r="I73" i="25"/>
  <c r="I76" i="25"/>
  <c r="I72" i="25"/>
  <c r="I77" i="25"/>
  <c r="I74" i="25"/>
  <c r="I75" i="25"/>
  <c r="I71" i="25"/>
  <c r="I78" i="25" s="1"/>
  <c r="H79" i="25"/>
  <c r="O66" i="25"/>
  <c r="G66" i="25"/>
  <c r="H66" i="25"/>
  <c r="K66" i="25"/>
  <c r="N66" i="25"/>
  <c r="J66" i="25"/>
  <c r="L66" i="25"/>
  <c r="D10" i="23" l="1"/>
  <c r="F29" i="22"/>
  <c r="H29" i="22" s="1"/>
  <c r="T7" i="22"/>
  <c r="Q5" i="22"/>
  <c r="M9" i="22"/>
  <c r="F9" i="22"/>
  <c r="H9" i="22" s="1"/>
  <c r="E10" i="23"/>
  <c r="F10" i="23" s="1"/>
  <c r="B10" i="23"/>
  <c r="B9" i="23"/>
  <c r="B8" i="23"/>
  <c r="B7" i="23"/>
  <c r="B6" i="23"/>
  <c r="B5" i="23"/>
  <c r="B4" i="23"/>
  <c r="B3" i="23"/>
  <c r="D11" i="22"/>
  <c r="D13" i="22"/>
  <c r="G13" i="22" s="1"/>
  <c r="H13" i="22" s="1"/>
  <c r="D12" i="22"/>
  <c r="G12" i="22" s="1"/>
  <c r="H12" i="22" s="1"/>
  <c r="G49" i="22"/>
  <c r="J42" i="22"/>
  <c r="K56" i="22"/>
  <c r="K52" i="22"/>
  <c r="K51" i="22"/>
  <c r="K48" i="22"/>
  <c r="K47" i="22"/>
  <c r="K46" i="22"/>
  <c r="K45" i="22"/>
  <c r="K41" i="22"/>
  <c r="K40" i="22"/>
  <c r="K39" i="22"/>
  <c r="K38" i="22"/>
  <c r="K28" i="22"/>
  <c r="K27" i="22"/>
  <c r="K26" i="22"/>
  <c r="K23" i="22"/>
  <c r="K22" i="22"/>
  <c r="K17" i="22"/>
  <c r="K16" i="22"/>
  <c r="K10" i="22"/>
  <c r="H56" i="22"/>
  <c r="H53" i="22"/>
  <c r="H52" i="22"/>
  <c r="H48" i="22"/>
  <c r="H47" i="22"/>
  <c r="H46" i="22"/>
  <c r="H45" i="22"/>
  <c r="H44" i="22"/>
  <c r="H49" i="22" s="1"/>
  <c r="H41" i="22"/>
  <c r="H40" i="22"/>
  <c r="H39" i="22"/>
  <c r="H38" i="22"/>
  <c r="H32" i="22"/>
  <c r="H31" i="22"/>
  <c r="H30" i="22"/>
  <c r="H28" i="22"/>
  <c r="H27" i="22"/>
  <c r="H26" i="22"/>
  <c r="H23" i="22"/>
  <c r="H22" i="22"/>
  <c r="H16" i="22"/>
  <c r="H10" i="22"/>
  <c r="N48" i="22"/>
  <c r="N47" i="22"/>
  <c r="N41" i="22"/>
  <c r="N40" i="22"/>
  <c r="N39" i="22"/>
  <c r="N38" i="22"/>
  <c r="M56" i="22"/>
  <c r="I56" i="22"/>
  <c r="L56" i="22" s="1"/>
  <c r="P56" i="22" s="1"/>
  <c r="R56" i="22" s="1"/>
  <c r="S56" i="22" s="1"/>
  <c r="G54" i="22"/>
  <c r="J54" i="22"/>
  <c r="J49" i="22"/>
  <c r="G42" i="22"/>
  <c r="G33" i="22"/>
  <c r="J33" i="22"/>
  <c r="M51" i="22"/>
  <c r="F52" i="22"/>
  <c r="I52" i="22" s="1"/>
  <c r="F51" i="22"/>
  <c r="H51" i="22" s="1"/>
  <c r="H54" i="22" s="1"/>
  <c r="Q53" i="22"/>
  <c r="M53" i="22"/>
  <c r="Q52" i="22"/>
  <c r="M52" i="22"/>
  <c r="Q51" i="22"/>
  <c r="Q46" i="22"/>
  <c r="M46" i="22"/>
  <c r="Q45" i="22"/>
  <c r="M45" i="22"/>
  <c r="N45" i="22" s="1"/>
  <c r="Q44" i="22"/>
  <c r="M44" i="22"/>
  <c r="F46" i="22"/>
  <c r="I46" i="22" s="1"/>
  <c r="L46" i="22" s="1"/>
  <c r="P46" i="22" s="1"/>
  <c r="F45" i="22"/>
  <c r="I45" i="22" s="1"/>
  <c r="L45" i="22" s="1"/>
  <c r="P45" i="22" s="1"/>
  <c r="F44" i="22"/>
  <c r="Q37" i="22"/>
  <c r="M37" i="22"/>
  <c r="Q36" i="22"/>
  <c r="M36" i="22"/>
  <c r="F37" i="22"/>
  <c r="H37" i="22" s="1"/>
  <c r="F36" i="22"/>
  <c r="I36" i="22" s="1"/>
  <c r="L36" i="22" s="1"/>
  <c r="P36" i="22" s="1"/>
  <c r="R36" i="22" s="1"/>
  <c r="S36" i="22" s="1"/>
  <c r="F35" i="22"/>
  <c r="H35" i="22" s="1"/>
  <c r="F28" i="22"/>
  <c r="I28" i="22" s="1"/>
  <c r="L28" i="22" s="1"/>
  <c r="P28" i="22" s="1"/>
  <c r="F27" i="22"/>
  <c r="Q35" i="22"/>
  <c r="M35" i="22"/>
  <c r="Q26" i="22"/>
  <c r="Q32" i="22"/>
  <c r="Q31" i="22"/>
  <c r="Q30" i="22"/>
  <c r="Q29" i="22"/>
  <c r="Q28" i="22"/>
  <c r="Q27" i="22"/>
  <c r="M26" i="22"/>
  <c r="M32" i="22"/>
  <c r="I32" i="22"/>
  <c r="L32" i="22" s="1"/>
  <c r="P32" i="22" s="1"/>
  <c r="M31" i="22"/>
  <c r="I31" i="22"/>
  <c r="L31" i="22" s="1"/>
  <c r="P31" i="22" s="1"/>
  <c r="M30" i="22"/>
  <c r="I30" i="22"/>
  <c r="L30" i="22" s="1"/>
  <c r="M29" i="22"/>
  <c r="M28" i="22"/>
  <c r="M27" i="22"/>
  <c r="I27" i="22"/>
  <c r="L27" i="22" s="1"/>
  <c r="P27" i="22" s="1"/>
  <c r="F26" i="22"/>
  <c r="I26" i="22" s="1"/>
  <c r="G24" i="22"/>
  <c r="J24" i="22"/>
  <c r="Q21" i="22"/>
  <c r="Q20" i="22"/>
  <c r="Q19" i="22"/>
  <c r="Q18" i="22"/>
  <c r="Q17" i="22"/>
  <c r="Q16" i="22"/>
  <c r="M23" i="22"/>
  <c r="M22" i="22"/>
  <c r="F23" i="22"/>
  <c r="L23" i="22" s="1"/>
  <c r="P23" i="22" s="1"/>
  <c r="R23" i="22" s="1"/>
  <c r="S23" i="22" s="1"/>
  <c r="F22" i="22"/>
  <c r="L22" i="22" s="1"/>
  <c r="P22" i="22" s="1"/>
  <c r="R22" i="22" s="1"/>
  <c r="S22" i="22" s="1"/>
  <c r="M21" i="22"/>
  <c r="M20" i="22"/>
  <c r="M19" i="22"/>
  <c r="M18" i="22"/>
  <c r="M16" i="22"/>
  <c r="F21" i="22"/>
  <c r="I21" i="22" s="1"/>
  <c r="L21" i="22" s="1"/>
  <c r="P21" i="22" s="1"/>
  <c r="F20" i="22"/>
  <c r="H20" i="22" s="1"/>
  <c r="F19" i="22"/>
  <c r="H19" i="22" s="1"/>
  <c r="M17" i="22"/>
  <c r="F16" i="22"/>
  <c r="I16" i="22" s="1"/>
  <c r="F17" i="22"/>
  <c r="H17" i="22" s="1"/>
  <c r="F18" i="22"/>
  <c r="I18" i="22" s="1"/>
  <c r="K18" i="22" s="1"/>
  <c r="M10" i="22"/>
  <c r="M8" i="22"/>
  <c r="M7" i="22"/>
  <c r="M5" i="22"/>
  <c r="L13" i="22"/>
  <c r="L12" i="22"/>
  <c r="L11" i="22"/>
  <c r="L10" i="22"/>
  <c r="L5" i="22"/>
  <c r="Q10" i="22"/>
  <c r="E8" i="22"/>
  <c r="G11" i="22"/>
  <c r="H11" i="22" s="1"/>
  <c r="I29" i="22" l="1"/>
  <c r="L29" i="22" s="1"/>
  <c r="P29" i="22" s="1"/>
  <c r="R29" i="22" s="1"/>
  <c r="S29" i="22" s="1"/>
  <c r="N30" i="22"/>
  <c r="H33" i="22"/>
  <c r="I9" i="22"/>
  <c r="K9" i="22" s="1"/>
  <c r="L9" i="22"/>
  <c r="K29" i="22"/>
  <c r="K31" i="22"/>
  <c r="K30" i="22"/>
  <c r="H18" i="22"/>
  <c r="H24" i="22" s="1"/>
  <c r="K32" i="22"/>
  <c r="H36" i="22"/>
  <c r="H42" i="22" s="1"/>
  <c r="K36" i="22"/>
  <c r="H21" i="22"/>
  <c r="K21" i="22"/>
  <c r="N31" i="22"/>
  <c r="N32" i="22"/>
  <c r="F49" i="22"/>
  <c r="N10" i="22"/>
  <c r="R28" i="22"/>
  <c r="S28" i="22" s="1"/>
  <c r="T28" i="22" s="1"/>
  <c r="N46" i="22"/>
  <c r="N21" i="22"/>
  <c r="N5" i="22"/>
  <c r="N22" i="22"/>
  <c r="R45" i="22"/>
  <c r="S45" i="22" s="1"/>
  <c r="T45" i="22" s="1"/>
  <c r="N28" i="22"/>
  <c r="N56" i="22"/>
  <c r="N36" i="22"/>
  <c r="N23" i="22"/>
  <c r="P30" i="22"/>
  <c r="T30" i="22" s="1"/>
  <c r="N27" i="22"/>
  <c r="M49" i="22"/>
  <c r="N29" i="22"/>
  <c r="M33" i="22"/>
  <c r="R46" i="22"/>
  <c r="S46" i="22" s="1"/>
  <c r="T46" i="22" s="1"/>
  <c r="F54" i="22"/>
  <c r="F42" i="22"/>
  <c r="Q33" i="22"/>
  <c r="Q54" i="22"/>
  <c r="M54" i="22"/>
  <c r="Q49" i="22"/>
  <c r="M42" i="22"/>
  <c r="Q42" i="22"/>
  <c r="T56" i="22"/>
  <c r="I33" i="22"/>
  <c r="I44" i="22"/>
  <c r="K44" i="22" s="1"/>
  <c r="K49" i="22" s="1"/>
  <c r="I37" i="22"/>
  <c r="L51" i="22"/>
  <c r="F33" i="22"/>
  <c r="I53" i="22"/>
  <c r="L52" i="22"/>
  <c r="T36" i="22"/>
  <c r="I35" i="22"/>
  <c r="K35" i="22" s="1"/>
  <c r="T29" i="22"/>
  <c r="T31" i="22"/>
  <c r="T32" i="22"/>
  <c r="L26" i="22"/>
  <c r="N26" i="22" s="1"/>
  <c r="R27" i="22"/>
  <c r="S27" i="22" s="1"/>
  <c r="T27" i="22" s="1"/>
  <c r="Q14" i="22"/>
  <c r="R21" i="22"/>
  <c r="S21" i="22" s="1"/>
  <c r="T21" i="22" s="1"/>
  <c r="Q24" i="22"/>
  <c r="F24" i="22"/>
  <c r="M24" i="22"/>
  <c r="T22" i="22"/>
  <c r="T23" i="22"/>
  <c r="L16" i="22"/>
  <c r="N16" i="22" s="1"/>
  <c r="I19" i="22"/>
  <c r="K19" i="22" s="1"/>
  <c r="I20" i="22"/>
  <c r="L17" i="22"/>
  <c r="N17" i="22" s="1"/>
  <c r="L18" i="22"/>
  <c r="G14" i="22"/>
  <c r="G57" i="22" s="1"/>
  <c r="J13" i="22"/>
  <c r="J11" i="22"/>
  <c r="J12" i="22"/>
  <c r="K33" i="22" l="1"/>
  <c r="N9" i="22"/>
  <c r="P5" i="22"/>
  <c r="K24" i="22"/>
  <c r="N51" i="22"/>
  <c r="L37" i="22"/>
  <c r="K37" i="22"/>
  <c r="K42" i="22"/>
  <c r="L20" i="22"/>
  <c r="P20" i="22" s="1"/>
  <c r="R20" i="22" s="1"/>
  <c r="S20" i="22" s="1"/>
  <c r="K20" i="22"/>
  <c r="L53" i="22"/>
  <c r="L54" i="22" s="1"/>
  <c r="N54" i="22" s="1"/>
  <c r="K53" i="22"/>
  <c r="K54" i="22" s="1"/>
  <c r="I24" i="22"/>
  <c r="M11" i="22"/>
  <c r="N11" i="22" s="1"/>
  <c r="K11" i="22"/>
  <c r="M13" i="22"/>
  <c r="N13" i="22" s="1"/>
  <c r="K13" i="22"/>
  <c r="M12" i="22"/>
  <c r="N12" i="22" s="1"/>
  <c r="K12" i="22"/>
  <c r="G59" i="22"/>
  <c r="I54" i="22"/>
  <c r="P18" i="22"/>
  <c r="R18" i="22" s="1"/>
  <c r="S18" i="22" s="1"/>
  <c r="N18" i="22"/>
  <c r="P52" i="22"/>
  <c r="R52" i="22" s="1"/>
  <c r="S52" i="22" s="1"/>
  <c r="T52" i="22" s="1"/>
  <c r="N52" i="22"/>
  <c r="P37" i="22"/>
  <c r="R37" i="22" s="1"/>
  <c r="S37" i="22" s="1"/>
  <c r="T37" i="22" s="1"/>
  <c r="N37" i="22"/>
  <c r="P26" i="22"/>
  <c r="L33" i="22"/>
  <c r="N33" i="22" s="1"/>
  <c r="L44" i="22"/>
  <c r="N44" i="22" s="1"/>
  <c r="I49" i="22"/>
  <c r="Q57" i="22"/>
  <c r="L35" i="22"/>
  <c r="N35" i="22" s="1"/>
  <c r="I42" i="22"/>
  <c r="P51" i="22"/>
  <c r="L19" i="22"/>
  <c r="P16" i="22"/>
  <c r="P17" i="22"/>
  <c r="R17" i="22" s="1"/>
  <c r="S17" i="22" s="1"/>
  <c r="J14" i="22"/>
  <c r="J57" i="22" s="1"/>
  <c r="N53" i="22" l="1"/>
  <c r="P53" i="22"/>
  <c r="T53" i="22" s="1"/>
  <c r="T18" i="22"/>
  <c r="N20" i="22"/>
  <c r="P10" i="22"/>
  <c r="R10" i="22" s="1"/>
  <c r="S10" i="22" s="1"/>
  <c r="T12" i="22" s="1"/>
  <c r="J59" i="22"/>
  <c r="T20" i="22"/>
  <c r="P19" i="22"/>
  <c r="R19" i="22" s="1"/>
  <c r="S19" i="22" s="1"/>
  <c r="N19" i="22"/>
  <c r="P35" i="22"/>
  <c r="L42" i="22"/>
  <c r="N42" i="22" s="1"/>
  <c r="P44" i="22"/>
  <c r="L49" i="22"/>
  <c r="N49" i="22" s="1"/>
  <c r="R26" i="22"/>
  <c r="P33" i="22"/>
  <c r="R51" i="22"/>
  <c r="P54" i="22"/>
  <c r="L24" i="22"/>
  <c r="N24" i="22" s="1"/>
  <c r="T17" i="22"/>
  <c r="P24" i="22"/>
  <c r="R16" i="22"/>
  <c r="T19" i="22"/>
  <c r="R44" i="22" l="1"/>
  <c r="P49" i="22"/>
  <c r="R35" i="22"/>
  <c r="P42" i="22"/>
  <c r="S51" i="22"/>
  <c r="R54" i="22"/>
  <c r="S26" i="22"/>
  <c r="R33" i="22"/>
  <c r="R24" i="22"/>
  <c r="S16" i="22"/>
  <c r="S35" i="22" l="1"/>
  <c r="R42" i="22"/>
  <c r="S44" i="22"/>
  <c r="R49" i="22"/>
  <c r="S54" i="22"/>
  <c r="T51" i="22"/>
  <c r="T26" i="22"/>
  <c r="S33" i="22"/>
  <c r="S24" i="22"/>
  <c r="T16" i="22"/>
  <c r="S49" i="22" l="1"/>
  <c r="T44" i="22"/>
  <c r="T35" i="22"/>
  <c r="S42" i="22"/>
  <c r="M6" i="22" l="1"/>
  <c r="F8" i="22"/>
  <c r="H8" i="22" s="1"/>
  <c r="F7" i="22"/>
  <c r="H7" i="22" s="1"/>
  <c r="F6" i="22"/>
  <c r="H6" i="22" s="1"/>
  <c r="H14" i="22" s="1"/>
  <c r="M14" i="22" l="1"/>
  <c r="I6" i="22"/>
  <c r="K6" i="22" s="1"/>
  <c r="F14" i="22"/>
  <c r="F57" i="22" s="1"/>
  <c r="H57" i="22" s="1"/>
  <c r="I7" i="22"/>
  <c r="I8" i="22"/>
  <c r="I9" i="20"/>
  <c r="I35" i="20"/>
  <c r="E38" i="20"/>
  <c r="L8" i="22" l="1"/>
  <c r="N8" i="22" s="1"/>
  <c r="K8" i="22"/>
  <c r="L7" i="22"/>
  <c r="N7" i="22" s="1"/>
  <c r="K7" i="22"/>
  <c r="K14" i="22" s="1"/>
  <c r="M57" i="22"/>
  <c r="M59" i="22" s="1"/>
  <c r="M62" i="22" s="1"/>
  <c r="F58" i="22"/>
  <c r="I14" i="22"/>
  <c r="L6" i="22"/>
  <c r="I11" i="20"/>
  <c r="E11" i="20"/>
  <c r="I43" i="20"/>
  <c r="I40" i="20"/>
  <c r="I39" i="20"/>
  <c r="I38" i="20"/>
  <c r="I36" i="20"/>
  <c r="I34" i="20"/>
  <c r="I32" i="20"/>
  <c r="I31" i="20"/>
  <c r="I30" i="20"/>
  <c r="I23" i="20"/>
  <c r="I22" i="20"/>
  <c r="I19" i="20"/>
  <c r="I18" i="20"/>
  <c r="I17" i="20"/>
  <c r="I14" i="20"/>
  <c r="I10" i="20"/>
  <c r="I8" i="20"/>
  <c r="I7" i="20"/>
  <c r="E10" i="20"/>
  <c r="E7" i="20"/>
  <c r="F59" i="22" l="1"/>
  <c r="H59" i="22" s="1"/>
  <c r="H58" i="22"/>
  <c r="I57" i="22"/>
  <c r="K57" i="22" s="1"/>
  <c r="P14" i="22"/>
  <c r="P57" i="22" s="1"/>
  <c r="N6" i="22"/>
  <c r="I58" i="22"/>
  <c r="L14" i="22"/>
  <c r="L57" i="22" s="1"/>
  <c r="F11" i="20"/>
  <c r="G11" i="20" s="1"/>
  <c r="E8" i="20"/>
  <c r="F48" i="20"/>
  <c r="G48" i="20" s="1"/>
  <c r="F10" i="20"/>
  <c r="G10" i="20" s="1"/>
  <c r="I59" i="22" l="1"/>
  <c r="K59" i="22" s="1"/>
  <c r="K58" i="22"/>
  <c r="N14" i="22"/>
  <c r="R5" i="22"/>
  <c r="R14" i="22" s="1"/>
  <c r="R57" i="22" s="1"/>
  <c r="F8" i="20"/>
  <c r="G8" i="20" s="1"/>
  <c r="J11" i="20"/>
  <c r="K11" i="20" s="1"/>
  <c r="F24" i="20"/>
  <c r="I50" i="20"/>
  <c r="E44" i="20"/>
  <c r="E43" i="20"/>
  <c r="G43" i="20" s="1"/>
  <c r="E40" i="20"/>
  <c r="E39" i="20"/>
  <c r="E36" i="20"/>
  <c r="E35" i="20"/>
  <c r="E34" i="20"/>
  <c r="E32" i="20"/>
  <c r="E31" i="20"/>
  <c r="E30" i="20"/>
  <c r="E28" i="20"/>
  <c r="E23" i="20"/>
  <c r="G23" i="20" s="1"/>
  <c r="E22" i="20"/>
  <c r="G22" i="20" s="1"/>
  <c r="E19" i="20"/>
  <c r="E18" i="20"/>
  <c r="E17" i="20"/>
  <c r="E14" i="20"/>
  <c r="E15" i="20" s="1"/>
  <c r="E9" i="20"/>
  <c r="S5" i="22" l="1"/>
  <c r="S14" i="22" s="1"/>
  <c r="S57" i="22" s="1"/>
  <c r="N57" i="22"/>
  <c r="L58" i="22"/>
  <c r="L59" i="22" s="1"/>
  <c r="G24" i="20"/>
  <c r="J8" i="20"/>
  <c r="K8" i="20" s="1"/>
  <c r="E20" i="20"/>
  <c r="J10" i="20"/>
  <c r="K10" i="20" s="1"/>
  <c r="E12" i="20"/>
  <c r="E24" i="20"/>
  <c r="J48" i="20"/>
  <c r="K48" i="20" s="1"/>
  <c r="F39" i="20"/>
  <c r="F38" i="20"/>
  <c r="F31" i="20"/>
  <c r="G31" i="20" s="1"/>
  <c r="F30" i="20"/>
  <c r="G30" i="20" s="1"/>
  <c r="F19" i="20"/>
  <c r="G19" i="20" s="1"/>
  <c r="F44" i="20"/>
  <c r="G44" i="20" s="1"/>
  <c r="J43" i="20"/>
  <c r="K43" i="20" s="1"/>
  <c r="F40" i="20"/>
  <c r="G40" i="20" s="1"/>
  <c r="F36" i="20"/>
  <c r="F35" i="20"/>
  <c r="F34" i="20"/>
  <c r="F28" i="20"/>
  <c r="G28" i="20" s="1"/>
  <c r="E27" i="20"/>
  <c r="G27" i="20" s="1"/>
  <c r="F18" i="20"/>
  <c r="G18" i="20" s="1"/>
  <c r="F17" i="20"/>
  <c r="G17" i="20" s="1"/>
  <c r="F9" i="20"/>
  <c r="G9" i="20" s="1"/>
  <c r="F7" i="20"/>
  <c r="G7" i="20" s="1"/>
  <c r="L62" i="22" l="1"/>
  <c r="N62" i="22" s="1"/>
  <c r="L15" i="22"/>
  <c r="L43" i="22"/>
  <c r="C7" i="23" s="1"/>
  <c r="F7" i="23" s="1"/>
  <c r="L50" i="22"/>
  <c r="C8" i="23" s="1"/>
  <c r="F8" i="23" s="1"/>
  <c r="L25" i="22"/>
  <c r="C5" i="23" s="1"/>
  <c r="F5" i="23" s="1"/>
  <c r="L34" i="22"/>
  <c r="C6" i="23" s="1"/>
  <c r="F6" i="23" s="1"/>
  <c r="C4" i="23"/>
  <c r="L4" i="22"/>
  <c r="C3" i="23" s="1"/>
  <c r="L55" i="22"/>
  <c r="C9" i="23" s="1"/>
  <c r="N58" i="22"/>
  <c r="P58" i="22"/>
  <c r="R58" i="22" s="1"/>
  <c r="S58" i="22" s="1"/>
  <c r="T58" i="22" s="1"/>
  <c r="J40" i="20"/>
  <c r="K40" i="20" s="1"/>
  <c r="G39" i="20"/>
  <c r="J39" i="20" s="1"/>
  <c r="K39" i="20" s="1"/>
  <c r="G12" i="20"/>
  <c r="E46" i="20"/>
  <c r="G20" i="20"/>
  <c r="E47" i="20"/>
  <c r="J31" i="20"/>
  <c r="K31" i="20" s="1"/>
  <c r="G38" i="20"/>
  <c r="J38" i="20" s="1"/>
  <c r="K38" i="20" s="1"/>
  <c r="G36" i="20"/>
  <c r="J36" i="20" s="1"/>
  <c r="K36" i="20" s="1"/>
  <c r="G34" i="20"/>
  <c r="J34" i="20" s="1"/>
  <c r="K34" i="20" s="1"/>
  <c r="J30" i="20"/>
  <c r="K30" i="20" s="1"/>
  <c r="G35" i="20"/>
  <c r="J44" i="20"/>
  <c r="K44" i="20" s="1"/>
  <c r="F12" i="20"/>
  <c r="F20" i="20"/>
  <c r="J18" i="20"/>
  <c r="K18" i="20" s="1"/>
  <c r="J28" i="20"/>
  <c r="K28" i="20" s="1"/>
  <c r="J22" i="20"/>
  <c r="K22" i="20" s="1"/>
  <c r="J19" i="20"/>
  <c r="K19" i="20" s="1"/>
  <c r="J9" i="20"/>
  <c r="K9" i="20" s="1"/>
  <c r="J23" i="20"/>
  <c r="K23" i="20" s="1"/>
  <c r="J27" i="20"/>
  <c r="K27" i="20" s="1"/>
  <c r="F32" i="20"/>
  <c r="G32" i="20" s="1"/>
  <c r="F14" i="20"/>
  <c r="E9" i="23" l="1"/>
  <c r="E11" i="23" s="1"/>
  <c r="D9" i="23"/>
  <c r="F4" i="23"/>
  <c r="D4" i="23"/>
  <c r="F3" i="23"/>
  <c r="D3" i="23"/>
  <c r="C11" i="23"/>
  <c r="D11" i="23" s="1"/>
  <c r="N59" i="22"/>
  <c r="E49" i="20"/>
  <c r="E50" i="20" s="1"/>
  <c r="J32" i="20"/>
  <c r="K32" i="20" s="1"/>
  <c r="J35" i="20"/>
  <c r="K35" i="20" s="1"/>
  <c r="G14" i="20"/>
  <c r="G15" i="20" s="1"/>
  <c r="G47" i="20" s="1"/>
  <c r="F15" i="20"/>
  <c r="F47" i="20" s="1"/>
  <c r="F46" i="20"/>
  <c r="J17" i="20"/>
  <c r="K17" i="20" s="1"/>
  <c r="F9" i="23" l="1"/>
  <c r="F11" i="23"/>
  <c r="L60" i="22"/>
  <c r="H60" i="22"/>
  <c r="K60" i="22"/>
  <c r="N60" i="22"/>
  <c r="G60" i="22"/>
  <c r="J60" i="22"/>
  <c r="F60" i="22"/>
  <c r="M60" i="22"/>
  <c r="I60" i="22"/>
  <c r="G46" i="20"/>
  <c r="G49" i="20" s="1"/>
  <c r="G50" i="20" s="1"/>
  <c r="G51" i="20" s="1"/>
  <c r="F49" i="20"/>
  <c r="F50" i="20" s="1"/>
  <c r="J14" i="20"/>
  <c r="K14" i="20" s="1"/>
  <c r="J7" i="20"/>
  <c r="E51" i="20"/>
  <c r="G53" i="20" l="1"/>
  <c r="G56" i="20" s="1"/>
  <c r="L12" i="20"/>
  <c r="G52" i="20"/>
  <c r="F51" i="20"/>
  <c r="J12" i="20"/>
  <c r="K7" i="20"/>
  <c r="L50" i="20" l="1"/>
  <c r="K12" i="20"/>
  <c r="L48" i="20"/>
  <c r="L24" i="20"/>
  <c r="L20" i="20"/>
  <c r="L46" i="20"/>
  <c r="L15" i="20"/>
  <c r="L5" i="20" l="1"/>
  <c r="J50" i="20"/>
  <c r="K50" i="20" s="1"/>
  <c r="F23" i="19" l="1"/>
  <c r="I21" i="19"/>
  <c r="F21" i="19"/>
  <c r="I20" i="19"/>
  <c r="F20" i="19"/>
  <c r="I19" i="19"/>
  <c r="F19" i="19"/>
  <c r="F18" i="19"/>
  <c r="I17" i="19"/>
  <c r="I16" i="19"/>
  <c r="F16" i="19"/>
  <c r="I15" i="19"/>
  <c r="F15" i="19"/>
  <c r="I14" i="19"/>
  <c r="F14" i="19"/>
  <c r="E12" i="19"/>
  <c r="D12" i="19"/>
  <c r="G12" i="19" s="1"/>
  <c r="K11" i="19"/>
  <c r="G11" i="19"/>
  <c r="F11" i="19"/>
  <c r="D11" i="19"/>
  <c r="D10" i="19"/>
  <c r="F10" i="19" s="1"/>
  <c r="I8" i="19"/>
  <c r="F8" i="19"/>
  <c r="I7" i="19"/>
  <c r="F7" i="19"/>
  <c r="K6" i="19"/>
  <c r="I6" i="19"/>
  <c r="F6" i="19"/>
  <c r="D5" i="19"/>
  <c r="I5" i="19" s="1"/>
  <c r="I4" i="19"/>
  <c r="I22" i="19" s="1"/>
  <c r="F4" i="19"/>
  <c r="F3" i="19"/>
  <c r="G10" i="19" l="1"/>
  <c r="G24" i="19" s="1"/>
  <c r="K10" i="19"/>
  <c r="K13" i="19" s="1"/>
  <c r="F12" i="19"/>
  <c r="K12" i="19"/>
  <c r="F5" i="19"/>
  <c r="K5" i="19" l="1"/>
  <c r="K7" i="19" s="1"/>
  <c r="L13" i="19" s="1"/>
  <c r="F24" i="19"/>
  <c r="G25" i="19"/>
  <c r="I24" i="19" l="1"/>
  <c r="G26" i="19" s="1"/>
  <c r="F25" i="19"/>
  <c r="F26" i="19" l="1"/>
  <c r="G54" i="20" l="1"/>
  <c r="O69" i="25" l="1"/>
  <c r="M6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tc={110F7FF1-A9F6-4060-B771-D2CBCF75EC55}</author>
    <author>tc={E20EBE42-7129-45CE-8DDB-6A4E535B0CBC}</author>
    <author>tc={47FEB738-DA34-4EC8-A8F3-0D56B0292FA8}</author>
    <author>tc={071F623E-445D-44F6-9E9A-624CB42C3785}</author>
    <author>tc={33D57D9A-9938-4077-9192-ADC60EB3A3B2}</author>
    <author>tc={2FF32874-56E9-40D1-973A-4CD32540005D}</author>
    <author>tc={F178DAF6-2FCF-49FC-9CFC-5C6B90481BD8}</author>
    <author>tc={ECB0ABC6-104B-4E89-ACD2-972ECD08B0DD}</author>
    <author>tc={70D062DB-281C-4F5D-B4A1-1BEB12818BA5}</author>
    <author>tc={79B574DE-85EE-410B-A79C-5E7F4425D962}</author>
    <author>tc={FD549F8C-74B4-4BF1-9DDD-07109EBC99BD}</author>
  </authors>
  <commentList>
    <comment ref="D1" authorId="0" shapeId="0" xr:uid="{110F7FF1-A9F6-4060-B771-D2CBCF75EC55}">
      <text>
        <t>[Threaded comment]
Your version of Excel allows you to read this threaded comment; however, any edits to it will get removed if the file is opened in a newer version of Excel. Learn more: https://go.microsoft.com/fwlink/?linkid=870924
Comment:
    It is likely that ISAG finance / legal advises us to sign the contract in local currency.</t>
      </text>
    </comment>
    <comment ref="A3" authorId="1" shapeId="0" xr:uid="{E20EBE42-7129-45CE-8DDB-6A4E535B0CBC}">
      <text>
        <t>[Threaded comment]
Your version of Excel allows you to read this threaded comment; however, any edits to it will get removed if the file is opened in a newer version of Excel. Learn more: https://go.microsoft.com/fwlink/?linkid=870924
Comment:
    Allocate certain cost from activity 1.4 (150,000) for the MEL design?</t>
      </text>
    </comment>
    <comment ref="D3" authorId="2" shapeId="0" xr:uid="{47FEB738-DA34-4EC8-A8F3-0D56B0292FA8}">
      <text>
        <t>[Threaded comment]
Your version of Excel allows you to read this threaded comment; however, any edits to it will get removed if the file is opened in a newer version of Excel. Learn more: https://go.microsoft.com/fwlink/?linkid=870924
Comment:
    temporarily allocated 50000 budget of activity 1.4 to the activity 1.1, which will be updated after receiving final confirm from CAF side.</t>
      </text>
    </comment>
    <comment ref="A4" authorId="3" shapeId="0" xr:uid="{071F623E-445D-44F6-9E9A-624CB42C3785}">
      <text>
        <t>[Threaded comment]
Your version of Excel allows you to read this threaded comment; however, any edits to it will get removed if the file is opened in a newer version of Excel. Learn more: https://go.microsoft.com/fwlink/?linkid=870924
Comment:
    Worhthwhile to conduct baselie survey also at control site? What are those control sites?</t>
      </text>
    </comment>
    <comment ref="F5" authorId="4" shapeId="0" xr:uid="{33D57D9A-9938-4077-9192-ADC60EB3A3B2}">
      <text>
        <t xml:space="preserve">[Threaded comment]
Your version of Excel allows you to read this threaded comment; however, any edits to it will get removed if the file is opened in a newer version of Excel. Learn more: https://go.microsoft.com/fwlink/?linkid=870924
Comment:
    As suggested by CAF, IKEA pay all the research fee so lower tax and lower total project cost
As an instead, IKEA decrease the share of implementation cost to 35%, and Huahai pay for 65% </t>
      </text>
    </comment>
    <comment ref="D6" authorId="5" shapeId="0" xr:uid="{2FF32874-56E9-40D1-973A-4CD32540005D}">
      <text>
        <t>[Threaded comment]
Your version of Excel allows you to read this threaded comment; however, any edits to it will get removed if the file is opened in a newer version of Excel. Learn more: https://go.microsoft.com/fwlink/?linkid=870924
Comment:
    temporarily allocated 50000 budget of activity 1.4 to the activity 1.1, which will be updated after receiving final confirm from CAF side.</t>
      </text>
    </comment>
    <comment ref="F10" authorId="6" shapeId="0" xr:uid="{F178DAF6-2FCF-49FC-9CFC-5C6B90481BD8}">
      <text>
        <t xml:space="preserve">[Threaded comment]
Your version of Excel allows you to read this threaded comment; however, any edits to it will get removed if the file is opened in a newer version of Excel. Learn more: https://go.microsoft.com/fwlink/?linkid=870924
Comment:
    As suggested by CAF, IKEA pay all the research fee so no lower tax and lower total project cost
As an instead, IKEA decrease the share of implementation cost to 35%, and Huahai pay for 65% </t>
      </text>
    </comment>
    <comment ref="A14" authorId="7" shapeId="0" xr:uid="{ECB0ABC6-104B-4E89-ACD2-972ECD08B0DD}">
      <text>
        <t>[Threaded comment]
Your version of Excel allows you to read this threaded comment; however, any edits to it will get removed if the file is opened in a newer version of Excel. Learn more: https://go.microsoft.com/fwlink/?linkid=870924
Comment:
    What is „carbon layer division“?</t>
      </text>
    </comment>
    <comment ref="E15" authorId="8" shapeId="0" xr:uid="{70D062DB-281C-4F5D-B4A1-1BEB12818BA5}">
      <text>
        <t>[Threaded comment]
Your version of Excel allows you to read this threaded comment; however, any edits to it will get removed if the file is opened in a newer version of Excel. Learn more: https://go.microsoft.com/fwlink/?linkid=870924
Comment:
    Need to check with Huahai why the plot amounts of 3.1 &amp; 3.2 are different 
Reply:
    As discussed with CAF, the plot number in activity 3.1 and 3.2 shall be the same
while need Prof He to further suggest the suitable plot amount to add in the table
28 or 36?</t>
      </text>
    </comment>
    <comment ref="A16" authorId="9" shapeId="0" xr:uid="{79B574DE-85EE-410B-A79C-5E7F4425D962}">
      <text>
        <t>[Threaded comment]
Your version of Excel allows you to read this threaded comment; however, any edits to it will get removed if the file is opened in a newer version of Excel. Learn more: https://go.microsoft.com/fwlink/?linkid=870924
Comment:
    Establish the report?</t>
      </text>
    </comment>
    <comment ref="F24" authorId="10" shapeId="0" xr:uid="{FD549F8C-74B4-4BF1-9DDD-07109EBC99BD}">
      <text>
        <t>[Threaded comment]
Your version of Excel allows you to read this threaded comment; however, any edits to it will get removed if the file is opened in a newer version of Excel. Learn more: https://go.microsoft.com/fwlink/?linkid=870924
Comment:
    Need to make additional cuts to get to 182 000 Euro, Huahai ok with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tc={78CCB534-A646-41FC-B13C-8EBCF03FC7DE}</author>
    <author>tc={D8D20DF1-3755-440C-8D13-59973E89A479}</author>
  </authors>
  <commentList>
    <comment ref="A1" authorId="0" shapeId="0" xr:uid="{78CCB534-A646-41FC-B13C-8EBCF03FC7DE}">
      <text>
        <t>[Threaded comment]
Your version of Excel allows you to read this threaded comment; however, any edits to it will get removed if the file is opened in a newer version of Excel. Learn more: https://go.microsoft.com/fwlink/?linkid=870924
Comment:
    Make more sense to call it “Project activity”?</t>
      </text>
    </comment>
    <comment ref="C1" authorId="1" shapeId="0" xr:uid="{D8D20DF1-3755-440C-8D13-59973E89A479}">
      <text>
        <t>[Threaded comment]
Your version of Excel allows you to read this threaded comment; however, any edits to it will get removed if the file is opened in a newer version of Excel. Learn more: https://go.microsoft.com/fwlink/?linkid=870924
Comment:
    What is the difference between the ”Deliverable” and ”key result”</t>
      </text>
    </comment>
  </commentList>
</comments>
</file>

<file path=xl/sharedStrings.xml><?xml version="1.0" encoding="utf-8"?>
<sst xmlns="http://schemas.openxmlformats.org/spreadsheetml/2006/main" count="360" uniqueCount="255">
  <si>
    <t>Activity</t>
  </si>
  <si>
    <t>Responsible organization</t>
  </si>
  <si>
    <t>Unit</t>
  </si>
  <si>
    <t>Unit cost (CNY)</t>
  </si>
  <si>
    <t>Total amount of units</t>
  </si>
  <si>
    <t>IKEA budegt (CNY)</t>
  </si>
  <si>
    <t>Zhihe budget (CNY)</t>
  </si>
  <si>
    <t>CNY to EUR</t>
  </si>
  <si>
    <t>CNY/EUR 0.1251 (▼0.21%) | Google Finance</t>
  </si>
  <si>
    <t>1. Design of forest RSC management plan &amp; on-site guidance</t>
  </si>
  <si>
    <t>Cost to CAF</t>
  </si>
  <si>
    <t>Huahai to CAF</t>
  </si>
  <si>
    <t>1.1 Establish Project Measurement, Evaluation &amp; Learning (MEL) framework</t>
  </si>
  <si>
    <t>CAF</t>
  </si>
  <si>
    <t>CNY / piece</t>
  </si>
  <si>
    <t xml:space="preserve"> </t>
  </si>
  <si>
    <t>1.2 Conduct land carbon stock baseline survey of project plantations and control area</t>
  </si>
  <si>
    <t>CNY /  plot</t>
  </si>
  <si>
    <t>1.3 Develop detailed project operation plan for the pilot period</t>
  </si>
  <si>
    <t>CNY / ha</t>
  </si>
  <si>
    <t xml:space="preserve">1.4 Design long-term (one rotation) forest management plan </t>
  </si>
  <si>
    <t>1.5 Conduct two times of technical training and implementation guidance</t>
  </si>
  <si>
    <t>CNY / time</t>
  </si>
  <si>
    <t>1.6 Conduct two times of on-site inspection and evaluation</t>
  </si>
  <si>
    <t>2. Implementation of designed management plan in the piloted forests</t>
  </si>
  <si>
    <t>Implementation cost</t>
  </si>
  <si>
    <t>2.1 Implement operation &amp; record data for 73 ha Eucalyptus plantations</t>
  </si>
  <si>
    <t>Zhihe</t>
  </si>
  <si>
    <t>2.2 Implement operation &amp; record data for 143 ha Betula alnoides plantations</t>
  </si>
  <si>
    <t>2.3 Implement operation &amp; record data for 295 ha mixed Betula alnoides and Pinus kesiya plantations</t>
  </si>
  <si>
    <t>3. Monitoring &amp; accounting of forest carbon sequestration</t>
  </si>
  <si>
    <t>3.1 Stratify project area &amp; Layout sample plots</t>
  </si>
  <si>
    <t>3.2 Complete two times of surveying, sampling, testing and data recording of sequestration and emission activities for sample plots</t>
  </si>
  <si>
    <t>3.3 Complete project report of land management monitoring and performance evaluation</t>
  </si>
  <si>
    <t>CNY /  report</t>
  </si>
  <si>
    <t>4. Project implementation summary and project publicity &amp; promotion</t>
  </si>
  <si>
    <t>4.1 Set up three on-site publicity billboards in pilot areas</t>
  </si>
  <si>
    <t>CNY /  piece</t>
  </si>
  <si>
    <t>4.2 Print out 300 pieces of project brochure</t>
  </si>
  <si>
    <t>4.3 Compile project summary report with land intervention models for carbon sequestration of three types of piloted plantations</t>
  </si>
  <si>
    <t>4.4 Organize two times of multi-party publicity seminars</t>
  </si>
  <si>
    <t>5. Project management and daily operation guarantee</t>
  </si>
  <si>
    <t>5.1 Organize and Provide transportation and office support for the project kick-off meetings, mid-term inspections, quarterly project steering meetings, on-site visit and other key project activities</t>
  </si>
  <si>
    <t>CNY / month</t>
  </si>
  <si>
    <t>Sum</t>
  </si>
  <si>
    <t>CNY</t>
  </si>
  <si>
    <t>EUR</t>
  </si>
  <si>
    <t>Project activity</t>
  </si>
  <si>
    <t>20250314_RSC Project Risk Log Register_External_Final.xlsx</t>
  </si>
  <si>
    <t>Project governance structure</t>
  </si>
  <si>
    <t>Huahai shall be responsible to hire/appoint a Project manager (PM) with proven ability to lead the project team (PT) and secures resources &amp; competences necessary for the implementation of the project. IKEA, acting reasonably, has a right to request PM to be changed.</t>
  </si>
  <si>
    <t>The Steering group (SG) is formed from representatives of RSCP and Huahai, to support the project manager and to monitor the progress of the project. Steering group meets at least 04 times a year . lt is a duty of Project manager to call for the SG meetings, to provide information and reports to the SG members in timely manner and to ensure that minutes of the SG are taken during the meeting and communicated to all SG members.</t>
  </si>
  <si>
    <t xml:space="preserve">RSCP appoints the reference person (RP), who coordinates execution of the agreement from IKEA side, confirms invoices and organizes verification of implementation of project activities, including the 3rd party verification. Reference person also serves as a point of contact between Parties outside the Steering group meetings. </t>
  </si>
  <si>
    <t>IKEA</t>
  </si>
  <si>
    <t>Deliverable</t>
  </si>
  <si>
    <t>Key result</t>
  </si>
  <si>
    <t>Responsible organisation</t>
  </si>
  <si>
    <t>Deadline</t>
  </si>
  <si>
    <t>Implementation plans for three types of tree forest projects</t>
  </si>
  <si>
    <t>carbon sink forest management plans, monitoring plans, and operational design plans.</t>
  </si>
  <si>
    <t>Monitoring plots and monitoring system construction for carbon sink forests</t>
  </si>
  <si>
    <t>established more than 30 long-term fixed monitoring plots for forest carbon sink management, providing a more accurate set of stand baseline and management activity level data.</t>
  </si>
  <si>
    <t>Carbon sequestration evaluation report.</t>
  </si>
  <si>
    <t>Calculate the baseline carbon sink capacity of the project forest stand and the increase in carbon sink capacity at the end of the two-year pilot. And establish a comprehensive balance plan for carbon sink management practices that aligns with local actual conditions.</t>
  </si>
  <si>
    <t>Project promotional brochure</t>
  </si>
  <si>
    <t>Produce a promotional brochure on the technical and management practices related to project implementation.</t>
  </si>
  <si>
    <t xml:space="preserve">1 – 2 times training promotion activity. </t>
  </si>
  <si>
    <t>Complete sustainable multifunctional forest management on 432 hectares project forest land.</t>
  </si>
  <si>
    <t>Explore the suitable land management models and summarize the corresponding technical report</t>
  </si>
  <si>
    <t>for Eucalyptus and Betula alnoides plantations, as well as the mixed forests of Pinus kesiya and Betula alnoides.</t>
  </si>
  <si>
    <t>Establish a win-win mechanism for multi-party participation in RSC project in China.</t>
  </si>
  <si>
    <t>Pu'er Zhihe</t>
  </si>
  <si>
    <t>PKR</t>
  </si>
  <si>
    <t>WWF agreement</t>
  </si>
  <si>
    <t>SEK</t>
  </si>
  <si>
    <t>Detailed Budget: Integration of agroforestry for carbon removal and storage enhancement and better economic returns for smallholding cotton farmers in Pakistan</t>
  </si>
  <si>
    <t>Code</t>
  </si>
  <si>
    <t>Description</t>
  </si>
  <si>
    <t>Budget (PKR)</t>
  </si>
  <si>
    <t>A</t>
  </si>
  <si>
    <t>A-1</t>
  </si>
  <si>
    <t>Total</t>
  </si>
  <si>
    <t>B</t>
  </si>
  <si>
    <t>B-1</t>
  </si>
  <si>
    <t xml:space="preserve">Total </t>
  </si>
  <si>
    <t>C</t>
  </si>
  <si>
    <t>C-1</t>
  </si>
  <si>
    <t>C-2</t>
  </si>
  <si>
    <t>C-3</t>
  </si>
  <si>
    <t>D</t>
  </si>
  <si>
    <t>D-1</t>
  </si>
  <si>
    <t>D-2</t>
  </si>
  <si>
    <t>E</t>
  </si>
  <si>
    <t>ACTIVITIES</t>
  </si>
  <si>
    <t>F-1</t>
  </si>
  <si>
    <t>F-2</t>
  </si>
  <si>
    <t>F-3</t>
  </si>
  <si>
    <t>F-4</t>
  </si>
  <si>
    <t>F-5</t>
  </si>
  <si>
    <t>F-6</t>
  </si>
  <si>
    <t>F-10</t>
  </si>
  <si>
    <t>F-11</t>
  </si>
  <si>
    <t>F-12</t>
  </si>
  <si>
    <t>F-13</t>
  </si>
  <si>
    <t>F-14</t>
  </si>
  <si>
    <t>Sub-total of Activities</t>
  </si>
  <si>
    <t>G-1</t>
  </si>
  <si>
    <t>Grand Total</t>
  </si>
  <si>
    <t>Year 1</t>
  </si>
  <si>
    <t>Year 2</t>
  </si>
  <si>
    <t>Unit Rate</t>
  </si>
  <si>
    <t>EURO</t>
  </si>
  <si>
    <t>Units</t>
  </si>
  <si>
    <t>Both Years</t>
  </si>
  <si>
    <t>1. Personnel</t>
  </si>
  <si>
    <t>1.1 Project Manager (x1)</t>
  </si>
  <si>
    <t>4. EQUIPMENT</t>
  </si>
  <si>
    <t xml:space="preserve">5. [Outcome 1] Increase adoption of agroforestry practices by planting 0.5 million plants on 500 hectares to support 2,000 cotton farmers in Punjab province to improve carbon removal and storage, better economic returns, and enhanced food security.  </t>
  </si>
  <si>
    <t>No.</t>
  </si>
  <si>
    <t>(PKR)</t>
  </si>
  <si>
    <t xml:space="preserve">Unit Cost </t>
  </si>
  <si>
    <t xml:space="preserve">5.4 [Output 1.1] 0.5 million acacia trees planted on low-valued agricultural land with the support of local communities. </t>
  </si>
  <si>
    <t>5.4.2 Cost of intercropping, as well as the procurement and provision of seeds for intercropping, to enhance soil health and provide short-term economic benefits to farmers. Rented machinery for intercropping</t>
  </si>
  <si>
    <t xml:space="preserve">5.5 [Output 1.2] Established food gardens through the plantation of 20000 fruit plants to enhance long-lived pools of C and improve food security.  </t>
  </si>
  <si>
    <t xml:space="preserve">5.6 [Output 1.3] Carried out post-plantation management to ensure survival and optimal plant growth of established planting sites. </t>
  </si>
  <si>
    <t>5.6.3 Nursery establishment/ renovation of old nursery sheds for the availability of plantation stocks  at community level</t>
  </si>
  <si>
    <t xml:space="preserve">7. [Outcome 2] Establish support mechanism for biodiversity conservation by enhancing planting diversity and integration of floriculture in cotton growing areas of Punjab and Sindh provinces. </t>
  </si>
  <si>
    <t>7.1 [Output 2.1] Demonstrated field-edge flowering plants as pollinator attractants to ensure continued delivery of ecosystem services in the cotton cropping system</t>
  </si>
  <si>
    <t>8. Audit Cost</t>
  </si>
  <si>
    <t>9. Management Cost (8.5%)</t>
  </si>
  <si>
    <t>3. Operational Cost</t>
  </si>
  <si>
    <t>Date</t>
  </si>
  <si>
    <t>2 Years Plan</t>
  </si>
  <si>
    <t>Ex. Rate</t>
  </si>
  <si>
    <t>20.08.2025</t>
  </si>
  <si>
    <t>A-3</t>
  </si>
  <si>
    <t>A-6</t>
  </si>
  <si>
    <t>1.3 Site Coordinator (x3)</t>
  </si>
  <si>
    <t>1.4 Sr. Project Officer (x1)</t>
  </si>
  <si>
    <t>5.1 Feasibility Study</t>
  </si>
  <si>
    <t>E-2</t>
  </si>
  <si>
    <t>Cutoff</t>
  </si>
  <si>
    <t>Total of (A+B+C+D+E)</t>
  </si>
  <si>
    <t>A-2</t>
  </si>
  <si>
    <t>A-4</t>
  </si>
  <si>
    <t>E-1</t>
  </si>
  <si>
    <t>3.2 Office rent, security, support and maintenance etc.</t>
  </si>
  <si>
    <t>3.3 Office Consumables, Communication, Utilities, Up-Keep etc.</t>
  </si>
  <si>
    <t>4.1 Laptops/ Printer/Software /Windows/ MS Office / Multimedia /Furniture/ Electronic equipment etc.</t>
  </si>
  <si>
    <t>7.1.2 Staff Capacity building/learning sharing meeting / planning workshop etc.</t>
  </si>
  <si>
    <t>1.5 Operations support (x3)</t>
  </si>
  <si>
    <t>3.1 Vehicle Running cost (Rent, Driver, fuel &amp; Maintenance Cost) x3</t>
  </si>
  <si>
    <t>2.1 Staff Traveling and Subsistence</t>
  </si>
  <si>
    <t>4.2 Survey equipment/ tools /  kits / electronic equipment / appliances etc.</t>
  </si>
  <si>
    <t>5.2 GIS mapping and spatial data analysis of target regions and plantation sites</t>
  </si>
  <si>
    <t>5.4.1 Procurement of forest plants (acacia and other species) plant seedling including transportation and handling costs/ procurement of planting material, equipment e.g. diggers, pruners etc. including running and maintenance cost of machinery, procurement of supplements like compost, fertilizer etc., to fill in the pits,  material related to control of insect pests etc. /remuneration of agro-forestry trainer &amp; labour etc.</t>
  </si>
  <si>
    <t>5.4.3 Gap filling of forest plant species to obtain the survival rate including procurement of seed, saplings, plantation cost, nursery establishment cost, procurement of supplements like compost, fertilizer etc., to fill in the pits,  material related to control of insect pests/remuneration of agro-forestry trainer &amp; labour etc.</t>
  </si>
  <si>
    <t>5.5.1 Procurement of fruit plants (selected fruit plant species) plant seedling including transportation and handling costs/ procurement of planting material,  procurement of supplements like compost, fertilizer etc., to fill in the pits,  material related to control of insect pests etc. /remuneration of agro-forestry trainer &amp; labour etc.</t>
  </si>
  <si>
    <t>5.5.2 Training on plantation and post plantation care/ staff capacity building/ remuneration of agro-forestry trainer &amp; labour etc.</t>
  </si>
  <si>
    <t>5.5.3 Gap filling of fruit plant species to obtain the survival rate including procurement of seed, saplings, plantation cost, procurement of supplements like compost, fertilizer etc., to fill in the pits,  material related to control of insect pests etc.</t>
  </si>
  <si>
    <t>5.6.1 Training of farmers on previous plantation  held under WWF-IKEA partnership/training using digital tools/etc.</t>
  </si>
  <si>
    <t>5.6.2 Post plantation care and on-site nursery establishment / intercropping cost</t>
  </si>
  <si>
    <t>7.1.1 Demonstration sites for indigenous plants diversity Procurement, pollinator-attractant flowering species, bushes, hedge plantation to support ecosystem services</t>
  </si>
  <si>
    <t>1.2 Technical Advisor Wood Stock Assessment (x1)</t>
  </si>
  <si>
    <t>2. Travel and Accommodation</t>
  </si>
  <si>
    <t>Sr. Project Officer (x1)</t>
  </si>
  <si>
    <t>Project Manager (x1)</t>
  </si>
  <si>
    <t>Operations Support (x3)</t>
  </si>
  <si>
    <t>Amount of units
PKR</t>
  </si>
  <si>
    <t>Total Cost 
PKR</t>
  </si>
  <si>
    <t>Unit Cost
PKR</t>
  </si>
  <si>
    <t>Unit Cost
EURO</t>
  </si>
  <si>
    <t>Conversion of Budget (PKR to EURO)</t>
  </si>
  <si>
    <t>1.1 WWF Project Management</t>
  </si>
  <si>
    <t>1.1.1</t>
  </si>
  <si>
    <t>1.1.2</t>
  </si>
  <si>
    <t>1.1.3</t>
  </si>
  <si>
    <t>1.2.1</t>
  </si>
  <si>
    <t>1.2.2</t>
  </si>
  <si>
    <t>1.2.3</t>
  </si>
  <si>
    <t>WWF Contribution (PKR)</t>
  </si>
  <si>
    <t>RSC Budget (PKR)</t>
  </si>
  <si>
    <t>1.2 WWF Project Management (Time Based Contribution )</t>
  </si>
  <si>
    <t>2.1 Technical Advisor Wood Stock Assessment (x1)</t>
  </si>
  <si>
    <t>2.2 Feasibility Study</t>
  </si>
  <si>
    <t>2.7 Laptops/ Printer/Software /Windows/ MS Office / Multimedia /Furniture/ Electronic equipment etc.</t>
  </si>
  <si>
    <t>2.8 Survey equipment/ tools /  kits / electronic equipment / appliances etc.</t>
  </si>
  <si>
    <t>1. Personnel Cost</t>
  </si>
  <si>
    <t>2.4 Field Running Cost (Vehicle Rent, Driver, Fuel &amp; Maintenance Cost) x3</t>
  </si>
  <si>
    <t>2.5 Field Office Rent, Security, Support and Maintenance etc.</t>
  </si>
  <si>
    <t>2.6 Field Office Consumables, Communication, Utilities, Up-Keep etc.</t>
  </si>
  <si>
    <t>2.3 Field Traveling and Subsistence</t>
  </si>
  <si>
    <t>3.1 Procurement of forest plants (acacia and other species) plant seedling including transportation and handling costs/ procurement of planting material, equipment e.g. diggers, pruners etc. including running and maintenance cost of machinery, procurement of supplements like compost, fertilizer etc., to fill in the pits,  material related to control of insect pests etc. /remuneration of agro-forestry trainer &amp; labour etc.</t>
  </si>
  <si>
    <t>3.2 Cost of intercropping, as well as the procurement and provision of seeds for intercropping, to enhance soil health and provide short-term economic benefits to farmers. Rented machinery for intercropping</t>
  </si>
  <si>
    <t>3. Establishment of 0.5 million Acacia Trees</t>
  </si>
  <si>
    <t>3.3 Gap filling of forest plant species to obtain the survival rate including procurement of seed, saplings, plantation cost, nursery establishment cost, procurement of supplements like compost, fertilizer etc., to fill in the pits,  material related to control of insect pests/remuneration of agro-forestry trainer &amp; labour etc.</t>
  </si>
  <si>
    <t>4. Establishment of 20,000 Fruit Trees</t>
  </si>
  <si>
    <t>4.1 Procurement of fruit plants (selected fruit plant species) plant seedling including transportation and handling costs/ procurement of planting material,  procurement of supplements like compost, fertilizer etc., to fill in the pits,  material related to control of insect pests etc. /remuneration of agro-forestry trainer &amp; labour etc.</t>
  </si>
  <si>
    <t>4.2 Training on plantation and post plantation care/ staff capacity building/ remuneration of agro-forestry trainer &amp; labour etc.</t>
  </si>
  <si>
    <t>4.3 Gap filling of fruit plant species to obtain the survival rate including procurement of seed, saplings, plantation cost, procurement of supplements like compost, fertilizer etc., to fill in the pits,  material related to control of insect pests etc.</t>
  </si>
  <si>
    <t>5. Post Plantation Management</t>
  </si>
  <si>
    <t>5.1 Training of farmers on previous plantation  held under WWF-IKEA partnership/training using digital tools/etc.</t>
  </si>
  <si>
    <t>5.2 Post plantation care and on-site nursery establishment / intercropping cost</t>
  </si>
  <si>
    <t>5.3 Nursery establishment/ renovation of old nursery sheds for the availability of plantation stocks  at community level</t>
  </si>
  <si>
    <t>6. Establish Small Scale Biodiversity Parks</t>
  </si>
  <si>
    <t>6.1 Demonstration sites for indigenous plants diversity Procurement, pollinator-attractant flowering species, bushes, hedge plantation to support ecosystem services</t>
  </si>
  <si>
    <t>6.2 Staff Capacity building/learning sharing meeting / planning workshop etc.</t>
  </si>
  <si>
    <t>Sub-Total</t>
  </si>
  <si>
    <t>7. Audit Cost</t>
  </si>
  <si>
    <t>Audit Cost</t>
  </si>
  <si>
    <t>Total (RSC+WWF)
PKR</t>
  </si>
  <si>
    <t>Yr-1</t>
  </si>
  <si>
    <t>Yr-2</t>
  </si>
  <si>
    <t>Total (Both Yr's)</t>
  </si>
  <si>
    <t>Spending %</t>
  </si>
  <si>
    <t>Project Director (15% Time)</t>
  </si>
  <si>
    <t>Finance Lead (25% Time)</t>
  </si>
  <si>
    <t>Project Lead (25% Time)</t>
  </si>
  <si>
    <t>8. Project Management Fee 8.5%</t>
  </si>
  <si>
    <t>Budget Heads</t>
  </si>
  <si>
    <t>Plan</t>
  </si>
  <si>
    <t>Varrience</t>
  </si>
  <si>
    <t>Site Coordinator (x3)</t>
  </si>
  <si>
    <t>1.1.4</t>
  </si>
  <si>
    <t>3.4 GIS mapping and spatial data analysis of target regions and plantation sites</t>
  </si>
  <si>
    <t>Detail Budget: RSC (2-Year)</t>
  </si>
  <si>
    <t>Groups</t>
  </si>
  <si>
    <t>Heads</t>
  </si>
  <si>
    <t>Budget (Euro)</t>
  </si>
  <si>
    <t>% of total budget</t>
  </si>
  <si>
    <t>Overhead cost (project management, field staff, baseline study, travel cost etcetera)</t>
  </si>
  <si>
    <t>Feasibility study for impact verification</t>
  </si>
  <si>
    <t>GIS mapping &amp; spatial data analysis</t>
  </si>
  <si>
    <t>Establishment of 0,5 million acacia trees</t>
  </si>
  <si>
    <t>Establishment of 20 000 fruit trees</t>
  </si>
  <si>
    <t>Post plantation management</t>
  </si>
  <si>
    <t>Establish small scale biodiversity parks</t>
  </si>
  <si>
    <t>Total budget</t>
  </si>
  <si>
    <t>Revised</t>
  </si>
  <si>
    <t>2. Feasibility &amp; Baseline Study Cost</t>
  </si>
  <si>
    <t>Revised Budget (PKR)</t>
  </si>
  <si>
    <t>Revised Budget %</t>
  </si>
  <si>
    <t>Activity Description</t>
  </si>
  <si>
    <t>1.Personnel</t>
  </si>
  <si>
    <t>2.Travel &amp; Accommodation</t>
  </si>
  <si>
    <t>3.Operational Cost (rent, utilities, logistics)</t>
  </si>
  <si>
    <t>4.IT / Electronics Equipment (Laptops, Software, Windows, MS Office, Multimedia, Tablets, etc.)</t>
  </si>
  <si>
    <t>5. Activities</t>
  </si>
  <si>
    <t>6.Communications, Advocacy &amp; Awareness</t>
  </si>
  <si>
    <t>Co-Financing (PKR)</t>
  </si>
  <si>
    <t>WWF-Contribution (PKR)</t>
  </si>
  <si>
    <t>Total (WWF+ Co-financing)
PKR</t>
  </si>
  <si>
    <t>Other costs</t>
  </si>
  <si>
    <t xml:space="preserve">Detail Budget: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</si>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</sst>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_ * #,##0_ ;_ * \-#,##0_ ;_ * &quot;-&quot;??_ ;_ @_ "/>
    <numFmt numFmtId="167" formatCode="_(* #,##0_);_(* \(#,##0\);_(* &quot;-&quot;??_);_(@_)"/>
    <numFmt numFmtId="168" formatCode="_-* #,##0_-;\-* #,##0_-;_-* &quot;-&quot;??_-;_-@_-"/>
    <numFmt numFmtId="169" formatCode="General_)"/>
    <numFmt numFmtId="170" formatCode="0.0%"/>
    <numFmt numFmtId="171" formatCode="_([$€-2]\ * #,##0_);_([$€-2]\ * \(#,##0\);_([$€-2]\ * &quot;-&quot;??_);_(@_)"/>
  </numFmts>
  <fonts count="73">
    <font>
      <sz val="11"/>
      <color theme="1"/>
      <name val="Calibri"/>
      <family val="2"/>
      <scheme val="minor"/>
    </font>
    <font>
      <b/>
      <sz val="14"/>
      <color theme="1"/>
      <name val="Calibri"/>
      <family val="2"/>
      <scheme val="minor"/>
    </font>
    <font>
      <sz val="14"/>
      <color theme="1"/>
      <name val="Calibri"/>
      <family val="2"/>
      <scheme val="minor"/>
    </font>
    <font>
      <sz val="12"/>
      <name val="宋体"/>
      <charset val="134"/>
    </font>
    <font>
      <u/>
      <sz val="11"/>
      <color theme="10"/>
      <name val="Calibri"/>
      <family val="2"/>
      <scheme val="minor"/>
    </font>
    <font>
      <b/>
      <sz val="12"/>
      <color theme="1"/>
      <name val="Calibri"/>
      <family val="2"/>
      <scheme val="minor"/>
    </font>
    <font>
      <i/>
      <sz val="11"/>
      <color rgb="FF0F4761"/>
      <name val="Aptos"/>
      <family val="2"/>
    </font>
    <font>
      <sz val="11"/>
      <color theme="1"/>
      <name val="Aptos"/>
      <family val="2"/>
    </font>
    <font>
      <sz val="11"/>
      <color theme="1"/>
      <name val="Symbol"/>
      <family val="1"/>
      <charset val="2"/>
    </font>
    <font>
      <i/>
      <sz val="11"/>
      <color rgb="FF0F4761"/>
      <name val="Aptos"/>
      <family val="1"/>
    </font>
    <font>
      <sz val="9"/>
      <color theme="1"/>
      <name val="Verdana"/>
      <family val="2"/>
    </font>
    <font>
      <sz val="11"/>
      <color theme="1"/>
      <name val="Calibri"/>
      <family val="2"/>
      <scheme val="minor"/>
    </font>
    <font>
      <sz val="8"/>
      <name val="Calibri"/>
      <family val="2"/>
      <scheme val="minor"/>
    </font>
    <font>
      <sz val="11"/>
      <name val="Noto IKEA Latin"/>
      <family val="2"/>
    </font>
    <font>
      <b/>
      <sz val="11"/>
      <name val="Noto IKEA Latin"/>
      <family val="2"/>
    </font>
    <font>
      <b/>
      <sz val="12"/>
      <color theme="0"/>
      <name val="Noto IKEA Latin"/>
      <family val="2"/>
    </font>
    <font>
      <b/>
      <sz val="11"/>
      <color theme="1"/>
      <name val="Noto IKEA Latin"/>
      <family val="2"/>
    </font>
    <font>
      <sz val="11"/>
      <color theme="1"/>
      <name val="Noto IKEA Latin"/>
      <family val="2"/>
    </font>
    <font>
      <b/>
      <sz val="11"/>
      <color theme="0"/>
      <name val="Noto IKEA Latin"/>
      <family val="2"/>
    </font>
    <font>
      <sz val="10"/>
      <color theme="1"/>
      <name val="Noto IKEA Latin"/>
      <family val="2"/>
    </font>
    <font>
      <sz val="12"/>
      <color theme="0"/>
      <name val="Noto IKEA Latin"/>
      <family val="2"/>
    </font>
    <font>
      <b/>
      <sz val="12"/>
      <name val="Noto IKEA Latin"/>
      <family val="2"/>
    </font>
    <font>
      <u/>
      <sz val="12"/>
      <name val="Noto IKEA Latin"/>
      <family val="2"/>
    </font>
    <font>
      <b/>
      <sz val="14"/>
      <color theme="1"/>
      <name val="Noto IKEA Latin"/>
      <family val="2"/>
    </font>
    <font>
      <sz val="11"/>
      <color theme="0"/>
      <name val="Calibri"/>
      <family val="2"/>
      <scheme val="minor"/>
    </font>
    <font>
      <sz val="8"/>
      <name val="Courier"/>
      <family val="3"/>
    </font>
    <font>
      <b/>
      <sz val="11"/>
      <color theme="0"/>
      <name val="Calibri"/>
      <family val="2"/>
      <scheme val="minor"/>
    </font>
    <font>
      <b/>
      <sz val="11"/>
      <color theme="1"/>
      <name val="Calibri"/>
      <family val="2"/>
      <scheme val="minor"/>
    </font>
    <font>
      <sz val="11"/>
      <color theme="1"/>
      <name val="Arial"/>
      <family val="2"/>
    </font>
    <font>
      <b/>
      <sz val="11"/>
      <name val="Calibri"/>
      <family val="2"/>
      <scheme val="minor"/>
    </font>
    <font>
      <sz val="11"/>
      <name val="Calibri"/>
      <family val="2"/>
      <scheme val="minor"/>
    </font>
    <font>
      <b/>
      <sz val="11"/>
      <color theme="1"/>
      <name val="Arial"/>
      <family val="2"/>
    </font>
    <font>
      <b/>
      <sz val="11"/>
      <color rgb="FFFF0000"/>
      <name val="Calibri"/>
      <family val="2"/>
      <scheme val="minor"/>
    </font>
    <font>
      <b/>
      <sz val="11"/>
      <color theme="0" tint="-0.249977111117893"/>
      <name val="Calibri"/>
      <family val="2"/>
      <scheme val="minor"/>
    </font>
    <font>
      <b/>
      <sz val="11"/>
      <color rgb="FF00B050"/>
      <name val="Arial"/>
      <family val="2"/>
    </font>
    <font>
      <b/>
      <sz val="11"/>
      <color theme="0" tint="-0.499984740745262"/>
      <name val="Calibri"/>
      <family val="2"/>
      <scheme val="minor"/>
    </font>
    <font>
      <sz val="11"/>
      <color theme="0" tint="-0.499984740745262"/>
      <name val="Calibri"/>
      <family val="2"/>
      <scheme val="minor"/>
    </font>
    <font>
      <sz val="11"/>
      <color theme="0" tint="-0.499984740745262"/>
      <name val="Arial"/>
      <family val="2"/>
    </font>
    <font>
      <b/>
      <sz val="11"/>
      <color theme="8"/>
      <name val="Arial"/>
      <family val="2"/>
    </font>
    <font>
      <b/>
      <sz val="11"/>
      <color rgb="FF7030A0"/>
      <name val="Calibri"/>
      <family val="2"/>
      <scheme val="minor"/>
    </font>
    <font>
      <sz val="11"/>
      <color rgb="FF7030A0"/>
      <name val="Calibri"/>
      <family val="2"/>
      <scheme val="minor"/>
    </font>
    <font>
      <sz val="11"/>
      <color rgb="FF7030A0"/>
      <name val="Arial"/>
      <family val="2"/>
    </font>
    <font>
      <b/>
      <sz val="11"/>
      <color rgb="FF7030A0"/>
      <name val="Arial"/>
      <family val="2"/>
    </font>
    <font>
      <b/>
      <sz val="11"/>
      <color theme="5"/>
      <name val="Calibri"/>
      <family val="2"/>
      <scheme val="minor"/>
    </font>
    <font>
      <b/>
      <sz val="11"/>
      <color theme="5"/>
      <name val="Arial"/>
      <family val="2"/>
    </font>
    <font>
      <b/>
      <sz val="11"/>
      <color theme="0" tint="-0.499984740745262"/>
      <name val="Arial"/>
      <family val="2"/>
    </font>
    <font>
      <b/>
      <sz val="12"/>
      <name val="Calibri"/>
      <family val="2"/>
      <scheme val="minor"/>
    </font>
    <font>
      <sz val="12"/>
      <color theme="0" tint="-0.499984740745262"/>
      <name val="Calibri"/>
      <family val="2"/>
      <scheme val="minor"/>
    </font>
    <font>
      <b/>
      <sz val="12"/>
      <color rgb="FF7030A0"/>
      <name val="Calibri"/>
      <family val="2"/>
      <scheme val="minor"/>
    </font>
    <font>
      <b/>
      <sz val="12"/>
      <color theme="5"/>
      <name val="Calibri"/>
      <family val="2"/>
      <scheme val="minor"/>
    </font>
    <font>
      <sz val="12"/>
      <color theme="1"/>
      <name val="Arial"/>
      <family val="2"/>
    </font>
    <font>
      <b/>
      <sz val="14"/>
      <name val="Calibri"/>
      <family val="2"/>
      <scheme val="minor"/>
    </font>
    <font>
      <sz val="14"/>
      <color theme="0" tint="-0.499984740745262"/>
      <name val="Calibri"/>
      <family val="2"/>
      <scheme val="minor"/>
    </font>
    <font>
      <sz val="14"/>
      <color rgb="FF7030A0"/>
      <name val="Calibri"/>
      <family val="2"/>
      <scheme val="minor"/>
    </font>
    <font>
      <b/>
      <sz val="14"/>
      <color rgb="FF7030A0"/>
      <name val="Calibri"/>
      <family val="2"/>
      <scheme val="minor"/>
    </font>
    <font>
      <b/>
      <sz val="14"/>
      <color theme="5"/>
      <name val="Calibri"/>
      <family val="2"/>
      <scheme val="minor"/>
    </font>
    <font>
      <sz val="14"/>
      <color theme="1"/>
      <name val="Arial"/>
      <family val="2"/>
    </font>
    <font>
      <b/>
      <sz val="18"/>
      <color theme="1"/>
      <name val="Calibri"/>
      <family val="2"/>
      <scheme val="minor"/>
    </font>
    <font>
      <sz val="18"/>
      <color theme="1"/>
      <name val="Calibri"/>
      <family val="2"/>
      <scheme val="minor"/>
    </font>
    <font>
      <sz val="11"/>
      <color theme="5"/>
      <name val="Arial"/>
      <family val="2"/>
    </font>
    <font>
      <sz val="14"/>
      <color theme="5"/>
      <name val="Calibri"/>
      <family val="2"/>
      <scheme val="minor"/>
    </font>
    <font>
      <sz val="11"/>
      <color theme="5"/>
      <name val="Calibri"/>
      <family val="2"/>
      <scheme val="minor"/>
    </font>
    <font>
      <b/>
      <sz val="12"/>
      <color theme="1"/>
      <name val="Arial"/>
      <family val="2"/>
    </font>
    <font>
      <sz val="12"/>
      <color theme="0" tint="-0.249977111117893"/>
      <name val="Arial"/>
      <family val="2"/>
    </font>
    <font>
      <b/>
      <sz val="12"/>
      <color rgb="FFFF0000"/>
      <name val="Calibri"/>
      <family val="2"/>
      <scheme val="minor"/>
    </font>
    <font>
      <b/>
      <sz val="12"/>
      <color theme="9"/>
      <name val="Calibri"/>
      <family val="2"/>
      <scheme val="minor"/>
    </font>
    <font>
      <b/>
      <sz val="12"/>
      <color theme="8"/>
      <name val="Arial"/>
      <family val="2"/>
    </font>
    <font>
      <b/>
      <sz val="11"/>
      <color theme="8"/>
      <name val="Calibri"/>
      <family val="2"/>
      <scheme val="minor"/>
    </font>
    <font>
      <sz val="11"/>
      <color theme="8"/>
      <name val="Calibri"/>
      <family val="2"/>
      <scheme val="minor"/>
    </font>
    <font>
      <sz val="11"/>
      <color theme="8"/>
      <name val="Arial"/>
      <family val="2"/>
    </font>
    <font>
      <b/>
      <sz val="12"/>
      <color theme="8"/>
      <name val="Calibri"/>
      <family val="2"/>
      <scheme val="minor"/>
    </font>
    <font>
      <sz val="14"/>
      <color theme="8"/>
      <name val="Calibri"/>
      <family val="2"/>
      <scheme val="minor"/>
    </font>
    <font>
      <b/>
      <sz val="14"/>
      <color theme="8"/>
      <name val="Calibri"/>
      <family val="2"/>
      <scheme val="minor"/>
    </font>
  </fonts>
  <fills count="20">
    <fill>
      <patternFill patternType="none"/>
    </fill>
    <fill>
      <patternFill patternType="gray125"/>
    </fill>
    <fill>
      <patternFill patternType="solid">
        <fgColor theme="5" tint="0.79998168889431442"/>
        <bgColor indexed="64"/>
      </patternFill>
    </fill>
    <fill>
      <patternFill patternType="solid">
        <fgColor theme="2"/>
        <bgColor indexed="64"/>
      </patternFill>
    </fill>
    <fill>
      <patternFill patternType="solid">
        <fgColor theme="9"/>
        <bgColor indexed="64"/>
      </patternFill>
    </fill>
    <fill>
      <patternFill patternType="solid">
        <fgColor theme="8"/>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92D050"/>
        <bgColor indexed="64"/>
      </patternFill>
    </fill>
    <fill>
      <patternFill patternType="solid">
        <fgColor rgb="FF8DB4E2"/>
        <bgColor indexed="64"/>
      </patternFill>
    </fill>
    <fill>
      <patternFill patternType="solid">
        <fgColor theme="7"/>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s>
  <cellStyleXfs count="9">
    <xf numFmtId="0" fontId="0" fillId="0" borderId="0"/>
    <xf numFmtId="0" fontId="3" fillId="0" borderId="0">
      <alignment vertical="center"/>
    </xf>
    <xf numFmtId="165" fontId="3" fillId="0" borderId="0" applyFont="0" applyFill="0" applyBorder="0" applyAlignment="0" applyProtection="0">
      <alignment vertical="center"/>
    </xf>
    <xf numFmtId="0" fontId="4" fillId="0" borderId="0" applyNumberFormat="0" applyFill="0" applyBorder="0" applyAlignment="0" applyProtection="0"/>
    <xf numFmtId="0" fontId="10" fillId="0" borderId="0"/>
    <xf numFmtId="164" fontId="11" fillId="0" borderId="0" applyFont="0" applyFill="0" applyBorder="0" applyAlignment="0" applyProtection="0"/>
    <xf numFmtId="9" fontId="11" fillId="0" borderId="0" applyFont="0" applyFill="0" applyBorder="0" applyAlignment="0" applyProtection="0"/>
    <xf numFmtId="0" fontId="25" fillId="0" borderId="0"/>
    <xf numFmtId="0" fontId="25" fillId="0" borderId="0"/>
  </cellStyleXfs>
  <cellXfs count="483">
    <xf numFmtId="0" fontId="0" fillId="0" borderId="0" xfId="0"/>
    <xf numFmtId="0" fontId="0" fillId="0" borderId="0" xfId="0" applyAlignment="1">
      <alignment wrapText="1"/>
    </xf>
    <xf numFmtId="0" fontId="0" fillId="0" borderId="1" xfId="0" applyBorder="1" applyAlignment="1">
      <alignment horizontal="center" vertical="center" wrapText="1"/>
    </xf>
    <xf numFmtId="0" fontId="2"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5" fillId="0" borderId="0" xfId="0" applyFont="1"/>
    <xf numFmtId="0" fontId="0" fillId="0" borderId="0" xfId="0" applyAlignment="1">
      <alignment vertical="center" wrapText="1"/>
    </xf>
    <xf numFmtId="0" fontId="0" fillId="4" borderId="0" xfId="0" applyFill="1"/>
    <xf numFmtId="0" fontId="0" fillId="5" borderId="0" xfId="0" applyFill="1"/>
    <xf numFmtId="0" fontId="4" fillId="0" borderId="0" xfId="3"/>
    <xf numFmtId="0" fontId="6" fillId="0" borderId="0" xfId="0" applyFont="1" applyAlignment="1">
      <alignment horizontal="left" vertical="center" indent="4"/>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indent="4"/>
    </xf>
    <xf numFmtId="0" fontId="0" fillId="0" borderId="0" xfId="0" applyAlignment="1">
      <alignment horizontal="left" vertical="center" wrapText="1"/>
    </xf>
    <xf numFmtId="0" fontId="15" fillId="6" borderId="8" xfId="0" applyFont="1" applyFill="1" applyBorder="1" applyAlignment="1">
      <alignment vertical="center" wrapText="1"/>
    </xf>
    <xf numFmtId="0" fontId="15" fillId="6" borderId="8" xfId="0" applyFont="1" applyFill="1" applyBorder="1" applyAlignment="1">
      <alignment horizontal="center" vertical="center" wrapText="1"/>
    </xf>
    <xf numFmtId="0" fontId="17" fillId="0" borderId="0" xfId="0" applyFont="1" applyAlignment="1">
      <alignment vertical="center"/>
    </xf>
    <xf numFmtId="0" fontId="19" fillId="0" borderId="1" xfId="0" applyFont="1" applyBorder="1" applyAlignment="1">
      <alignment horizontal="center" vertical="center" wrapText="1"/>
    </xf>
    <xf numFmtId="0" fontId="13" fillId="0" borderId="0" xfId="0" applyFont="1" applyAlignment="1">
      <alignment vertical="center" wrapText="1"/>
    </xf>
    <xf numFmtId="167" fontId="18" fillId="6" borderId="0" xfId="0" applyNumberFormat="1" applyFont="1" applyFill="1" applyAlignment="1">
      <alignment vertical="center"/>
    </xf>
    <xf numFmtId="0" fontId="16" fillId="0" borderId="0" xfId="0" applyFont="1" applyAlignment="1">
      <alignment vertical="center"/>
    </xf>
    <xf numFmtId="9" fontId="13" fillId="0" borderId="0" xfId="6" applyFont="1" applyAlignment="1">
      <alignment horizontal="center" vertical="center"/>
    </xf>
    <xf numFmtId="0" fontId="14" fillId="3" borderId="6" xfId="0" applyFont="1" applyFill="1" applyBorder="1" applyAlignment="1">
      <alignment vertical="center" wrapText="1"/>
    </xf>
    <xf numFmtId="0" fontId="14" fillId="3" borderId="10" xfId="0" applyFont="1" applyFill="1" applyBorder="1" applyAlignment="1">
      <alignment horizontal="center" vertical="center" wrapText="1"/>
    </xf>
    <xf numFmtId="0" fontId="14" fillId="3" borderId="10" xfId="0" applyFont="1" applyFill="1" applyBorder="1" applyAlignment="1">
      <alignment horizontal="center" vertical="center"/>
    </xf>
    <xf numFmtId="3" fontId="13" fillId="0" borderId="3"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14" fillId="3" borderId="6" xfId="0" applyFont="1" applyFill="1" applyBorder="1" applyAlignment="1">
      <alignment vertical="center"/>
    </xf>
    <xf numFmtId="0" fontId="14" fillId="3" borderId="5" xfId="0" applyFont="1" applyFill="1" applyBorder="1" applyAlignment="1">
      <alignment horizontal="center" vertical="center"/>
    </xf>
    <xf numFmtId="0" fontId="14" fillId="0" borderId="11" xfId="0" applyFont="1" applyBorder="1" applyAlignment="1">
      <alignment vertical="center" wrapText="1"/>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3" fontId="14" fillId="0" borderId="11" xfId="0" applyNumberFormat="1"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0" fillId="0" borderId="0" xfId="0" applyFont="1" applyAlignment="1">
      <alignment vertical="center" wrapText="1"/>
    </xf>
    <xf numFmtId="0" fontId="16" fillId="0" borderId="0" xfId="0" applyFont="1" applyAlignment="1">
      <alignment horizontal="center" vertical="center"/>
    </xf>
    <xf numFmtId="166" fontId="17" fillId="0" borderId="14" xfId="0" applyNumberFormat="1" applyFont="1" applyBorder="1" applyAlignment="1">
      <alignment vertical="center"/>
    </xf>
    <xf numFmtId="0" fontId="17" fillId="0" borderId="14" xfId="0" applyFont="1" applyBorder="1" applyAlignment="1">
      <alignment vertical="center"/>
    </xf>
    <xf numFmtId="0" fontId="21" fillId="0" borderId="0" xfId="0" applyFont="1" applyAlignment="1">
      <alignment vertical="center"/>
    </xf>
    <xf numFmtId="0" fontId="22" fillId="0" borderId="0" xfId="3" applyFont="1" applyAlignment="1">
      <alignment vertical="center"/>
    </xf>
    <xf numFmtId="166" fontId="17" fillId="0" borderId="15" xfId="0" applyNumberFormat="1" applyFont="1" applyBorder="1" applyAlignment="1">
      <alignment vertical="center"/>
    </xf>
    <xf numFmtId="167" fontId="13" fillId="0" borderId="3" xfId="5" applyNumberFormat="1" applyFont="1" applyFill="1" applyBorder="1" applyAlignment="1">
      <alignment horizontal="center" vertical="center"/>
    </xf>
    <xf numFmtId="167" fontId="13" fillId="0" borderId="14" xfId="5" applyNumberFormat="1" applyFont="1" applyBorder="1" applyAlignment="1">
      <alignment vertical="center"/>
    </xf>
    <xf numFmtId="167" fontId="17" fillId="0" borderId="15" xfId="5" applyNumberFormat="1" applyFont="1" applyBorder="1" applyAlignment="1">
      <alignment vertical="center"/>
    </xf>
    <xf numFmtId="0" fontId="13" fillId="0" borderId="3" xfId="1" applyFont="1" applyBorder="1" applyAlignment="1">
      <alignment horizontal="center" vertical="center" wrapText="1"/>
    </xf>
    <xf numFmtId="166" fontId="13" fillId="0" borderId="3" xfId="2" applyNumberFormat="1" applyFont="1" applyBorder="1" applyAlignment="1">
      <alignment horizontal="center" vertical="center" wrapText="1"/>
    </xf>
    <xf numFmtId="166" fontId="13" fillId="0" borderId="1" xfId="2" applyNumberFormat="1" applyFont="1" applyBorder="1" applyAlignment="1">
      <alignment horizontal="center" vertical="center"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166" fontId="13" fillId="0" borderId="1" xfId="2" applyNumberFormat="1" applyFont="1" applyFill="1" applyBorder="1" applyAlignment="1">
      <alignment horizontal="center" vertical="center" wrapText="1"/>
    </xf>
    <xf numFmtId="0" fontId="13" fillId="0" borderId="1" xfId="1" applyFont="1" applyBorder="1" applyAlignment="1">
      <alignment horizontal="left" vertical="center"/>
    </xf>
    <xf numFmtId="0" fontId="13" fillId="0" borderId="1" xfId="1" applyFont="1" applyBorder="1" applyAlignment="1">
      <alignment horizontal="center" vertical="center"/>
    </xf>
    <xf numFmtId="1" fontId="13" fillId="0" borderId="1" xfId="1" applyNumberFormat="1" applyFont="1" applyBorder="1" applyAlignment="1">
      <alignment horizontal="center" vertical="center"/>
    </xf>
    <xf numFmtId="167" fontId="13" fillId="0" borderId="0" xfId="5" applyNumberFormat="1" applyFont="1" applyAlignment="1">
      <alignment horizontal="center" vertical="center"/>
    </xf>
    <xf numFmtId="167" fontId="14" fillId="0" borderId="11" xfId="5" applyNumberFormat="1" applyFont="1" applyBorder="1" applyAlignment="1">
      <alignment horizontal="center" vertical="center"/>
    </xf>
    <xf numFmtId="167" fontId="17" fillId="0" borderId="0" xfId="0" applyNumberFormat="1" applyFont="1" applyAlignment="1">
      <alignment vertical="center"/>
    </xf>
    <xf numFmtId="167" fontId="16" fillId="0" borderId="0" xfId="0" applyNumberFormat="1" applyFont="1" applyAlignment="1">
      <alignment vertical="center"/>
    </xf>
    <xf numFmtId="0" fontId="21" fillId="7" borderId="0" xfId="0" applyFont="1" applyFill="1" applyAlignment="1">
      <alignment vertical="center"/>
    </xf>
    <xf numFmtId="167" fontId="17" fillId="0" borderId="13" xfId="0" applyNumberFormat="1" applyFont="1" applyBorder="1" applyAlignment="1">
      <alignment vertical="center"/>
    </xf>
    <xf numFmtId="167" fontId="17" fillId="0" borderId="14" xfId="0" applyNumberFormat="1" applyFont="1" applyBorder="1" applyAlignment="1">
      <alignment vertical="center"/>
    </xf>
    <xf numFmtId="167" fontId="17" fillId="0" borderId="15" xfId="0" applyNumberFormat="1" applyFont="1" applyBorder="1" applyAlignment="1">
      <alignment vertical="center"/>
    </xf>
    <xf numFmtId="166" fontId="13" fillId="0" borderId="3" xfId="0" applyNumberFormat="1" applyFont="1" applyBorder="1" applyAlignment="1">
      <alignment horizontal="center" vertical="center"/>
    </xf>
    <xf numFmtId="167" fontId="13" fillId="0" borderId="1" xfId="5" applyNumberFormat="1" applyFont="1" applyFill="1" applyBorder="1" applyAlignment="1">
      <alignment horizontal="center" vertical="center"/>
    </xf>
    <xf numFmtId="0" fontId="13" fillId="0" borderId="3" xfId="1" applyFont="1" applyBorder="1" applyAlignment="1">
      <alignment horizontal="left" vertical="center" wrapText="1"/>
    </xf>
    <xf numFmtId="167" fontId="13" fillId="0" borderId="1" xfId="5" applyNumberFormat="1" applyFont="1" applyFill="1" applyBorder="1" applyAlignment="1">
      <alignment horizontal="center" vertical="center" wrapText="1"/>
    </xf>
    <xf numFmtId="167" fontId="16" fillId="0" borderId="0" xfId="5" applyNumberFormat="1" applyFont="1" applyFill="1" applyAlignment="1">
      <alignment vertical="center"/>
    </xf>
    <xf numFmtId="9" fontId="16" fillId="0" borderId="0" xfId="6" applyFont="1" applyFill="1" applyAlignment="1">
      <alignment vertical="center"/>
    </xf>
    <xf numFmtId="0" fontId="13" fillId="9" borderId="1" xfId="1" applyFont="1" applyFill="1" applyBorder="1" applyAlignment="1">
      <alignment horizontal="left" vertical="center" wrapText="1"/>
    </xf>
    <xf numFmtId="166" fontId="17" fillId="8" borderId="12" xfId="0" applyNumberFormat="1" applyFont="1" applyFill="1" applyBorder="1" applyAlignment="1">
      <alignment vertical="center"/>
    </xf>
    <xf numFmtId="167" fontId="17" fillId="8" borderId="13" xfId="5" applyNumberFormat="1" applyFont="1" applyFill="1" applyBorder="1" applyAlignment="1">
      <alignment vertical="center"/>
    </xf>
    <xf numFmtId="0" fontId="17" fillId="0" borderId="13" xfId="0" applyFont="1" applyBorder="1" applyAlignment="1">
      <alignment vertical="center"/>
    </xf>
    <xf numFmtId="166" fontId="17" fillId="8" borderId="14" xfId="0" applyNumberFormat="1" applyFont="1" applyFill="1" applyBorder="1" applyAlignment="1">
      <alignment vertical="center"/>
    </xf>
    <xf numFmtId="0" fontId="23" fillId="0" borderId="0" xfId="0" applyFont="1" applyAlignment="1">
      <alignment horizontal="left" vertical="center"/>
    </xf>
    <xf numFmtId="0" fontId="17" fillId="0" borderId="0" xfId="0" applyFont="1" applyAlignment="1">
      <alignment wrapText="1"/>
    </xf>
    <xf numFmtId="167" fontId="13" fillId="0" borderId="3" xfId="5" applyNumberFormat="1" applyFont="1" applyBorder="1" applyAlignment="1">
      <alignment horizontal="center" vertical="center"/>
    </xf>
    <xf numFmtId="0" fontId="24" fillId="0" borderId="0" xfId="0" applyFont="1" applyAlignment="1">
      <alignment wrapText="1"/>
    </xf>
    <xf numFmtId="0" fontId="24" fillId="0" borderId="0" xfId="0" applyFont="1" applyAlignment="1">
      <alignment vertical="center" wrapText="1"/>
    </xf>
    <xf numFmtId="167" fontId="0" fillId="0" borderId="0" xfId="5" applyNumberFormat="1" applyFont="1"/>
    <xf numFmtId="0" fontId="28" fillId="0" borderId="0" xfId="0" applyFont="1"/>
    <xf numFmtId="167" fontId="27" fillId="0" borderId="0" xfId="5" applyNumberFormat="1" applyFont="1" applyAlignment="1">
      <alignment vertical="top" wrapText="1"/>
    </xf>
    <xf numFmtId="167" fontId="26" fillId="10" borderId="1" xfId="5" applyNumberFormat="1" applyFont="1" applyFill="1" applyBorder="1" applyAlignment="1">
      <alignment horizontal="center" vertical="center" wrapText="1"/>
    </xf>
    <xf numFmtId="0" fontId="27" fillId="0" borderId="1" xfId="0" applyFont="1" applyBorder="1" applyAlignment="1">
      <alignment horizontal="center" vertical="center"/>
    </xf>
    <xf numFmtId="1" fontId="29" fillId="9" borderId="1" xfId="7" applyNumberFormat="1" applyFont="1" applyFill="1" applyBorder="1" applyAlignment="1">
      <alignment horizontal="left" vertical="center" wrapText="1"/>
    </xf>
    <xf numFmtId="167" fontId="0" fillId="0" borderId="1" xfId="5" applyNumberFormat="1" applyFont="1" applyBorder="1"/>
    <xf numFmtId="167" fontId="30" fillId="0" borderId="1" xfId="5" applyNumberFormat="1" applyFont="1" applyBorder="1"/>
    <xf numFmtId="0" fontId="29" fillId="9" borderId="1" xfId="7" applyFont="1" applyFill="1" applyBorder="1" applyAlignment="1">
      <alignment horizontal="center" vertical="center" wrapText="1"/>
    </xf>
    <xf numFmtId="1" fontId="30" fillId="9" borderId="1" xfId="7" applyNumberFormat="1" applyFont="1" applyFill="1" applyBorder="1" applyAlignment="1">
      <alignment horizontal="left" vertical="center" wrapText="1"/>
    </xf>
    <xf numFmtId="167" fontId="30" fillId="9" borderId="1" xfId="5" applyNumberFormat="1" applyFont="1" applyFill="1" applyBorder="1"/>
    <xf numFmtId="1" fontId="30" fillId="9" borderId="1" xfId="7" applyNumberFormat="1" applyFont="1" applyFill="1" applyBorder="1" applyAlignment="1">
      <alignment vertical="center" wrapText="1"/>
    </xf>
    <xf numFmtId="0" fontId="29" fillId="11" borderId="1" xfId="7" applyFont="1" applyFill="1" applyBorder="1" applyAlignment="1">
      <alignment horizontal="center" vertical="center" wrapText="1"/>
    </xf>
    <xf numFmtId="168" fontId="29" fillId="12" borderId="1" xfId="5" applyNumberFormat="1" applyFont="1" applyFill="1" applyBorder="1"/>
    <xf numFmtId="167" fontId="29" fillId="12" borderId="1" xfId="5" applyNumberFormat="1" applyFont="1" applyFill="1" applyBorder="1"/>
    <xf numFmtId="0" fontId="29" fillId="0" borderId="1" xfId="7" applyFont="1" applyBorder="1" applyAlignment="1">
      <alignment horizontal="left" vertical="center" wrapText="1"/>
    </xf>
    <xf numFmtId="0" fontId="29" fillId="0" borderId="1" xfId="7" applyFont="1" applyBorder="1" applyAlignment="1">
      <alignment horizontal="center" vertical="center" wrapText="1"/>
    </xf>
    <xf numFmtId="0" fontId="30" fillId="0" borderId="1" xfId="7" applyFont="1" applyBorder="1" applyAlignment="1">
      <alignment horizontal="left" vertical="center" wrapText="1"/>
    </xf>
    <xf numFmtId="0" fontId="29" fillId="9" borderId="1" xfId="7" applyFont="1" applyFill="1" applyBorder="1" applyAlignment="1">
      <alignment horizontal="left" vertical="center" wrapText="1"/>
    </xf>
    <xf numFmtId="0" fontId="30" fillId="9" borderId="1" xfId="7" applyFont="1" applyFill="1" applyBorder="1" applyAlignment="1">
      <alignment horizontal="left" vertical="center" wrapText="1"/>
    </xf>
    <xf numFmtId="167" fontId="30" fillId="0" borderId="1" xfId="5" applyNumberFormat="1" applyFont="1" applyBorder="1" applyAlignment="1">
      <alignment vertical="center"/>
    </xf>
    <xf numFmtId="0" fontId="28" fillId="0" borderId="0" xfId="0" applyFont="1" applyAlignment="1">
      <alignment vertical="center"/>
    </xf>
    <xf numFmtId="0" fontId="29" fillId="10" borderId="1" xfId="7" applyFont="1" applyFill="1" applyBorder="1" applyAlignment="1">
      <alignment horizontal="center" vertical="center" wrapText="1"/>
    </xf>
    <xf numFmtId="0" fontId="27" fillId="12" borderId="1" xfId="0" applyFont="1" applyFill="1" applyBorder="1"/>
    <xf numFmtId="167" fontId="27" fillId="12" borderId="1" xfId="5" applyNumberFormat="1" applyFont="1" applyFill="1" applyBorder="1"/>
    <xf numFmtId="0" fontId="29" fillId="0" borderId="1" xfId="7" applyFont="1" applyBorder="1" applyAlignment="1">
      <alignment vertical="center"/>
    </xf>
    <xf numFmtId="167" fontId="30" fillId="13" borderId="1" xfId="5" applyNumberFormat="1" applyFont="1" applyFill="1" applyBorder="1"/>
    <xf numFmtId="167" fontId="30" fillId="9" borderId="1" xfId="5" applyNumberFormat="1" applyFont="1" applyFill="1" applyBorder="1" applyAlignment="1">
      <alignment vertical="center"/>
    </xf>
    <xf numFmtId="0" fontId="29" fillId="9" borderId="1" xfId="5" applyNumberFormat="1" applyFont="1" applyFill="1" applyBorder="1" applyAlignment="1">
      <alignment horizontal="center" vertical="center" wrapText="1"/>
    </xf>
    <xf numFmtId="167" fontId="30" fillId="14" borderId="1" xfId="5" applyNumberFormat="1" applyFont="1" applyFill="1" applyBorder="1" applyAlignment="1">
      <alignment vertical="center"/>
    </xf>
    <xf numFmtId="0" fontId="30" fillId="9" borderId="1" xfId="5" applyNumberFormat="1" applyFont="1" applyFill="1" applyBorder="1" applyAlignment="1">
      <alignment vertical="center" wrapText="1"/>
    </xf>
    <xf numFmtId="167" fontId="28" fillId="0" borderId="0" xfId="0" applyNumberFormat="1" applyFont="1" applyAlignment="1">
      <alignment vertical="center"/>
    </xf>
    <xf numFmtId="0" fontId="29" fillId="13" borderId="1" xfId="7" applyFont="1" applyFill="1" applyBorder="1" applyAlignment="1">
      <alignment horizontal="center" vertical="center" wrapText="1"/>
    </xf>
    <xf numFmtId="0" fontId="27" fillId="13" borderId="1" xfId="0" applyFont="1" applyFill="1" applyBorder="1" applyAlignment="1">
      <alignment vertical="center" wrapText="1"/>
    </xf>
    <xf numFmtId="167" fontId="27" fillId="13" borderId="1" xfId="5" applyNumberFormat="1" applyFont="1" applyFill="1" applyBorder="1" applyAlignment="1">
      <alignment vertical="center"/>
    </xf>
    <xf numFmtId="0" fontId="29" fillId="15" borderId="1" xfId="7" applyFont="1" applyFill="1" applyBorder="1" applyAlignment="1">
      <alignment horizontal="center" vertical="center" wrapText="1"/>
    </xf>
    <xf numFmtId="168" fontId="29" fillId="15" borderId="1" xfId="5" applyNumberFormat="1" applyFont="1" applyFill="1" applyBorder="1" applyAlignment="1">
      <alignment vertical="center" wrapText="1"/>
    </xf>
    <xf numFmtId="167" fontId="29" fillId="15" borderId="1" xfId="5" applyNumberFormat="1" applyFont="1" applyFill="1" applyBorder="1" applyAlignment="1">
      <alignment vertical="center"/>
    </xf>
    <xf numFmtId="0" fontId="29" fillId="0" borderId="1" xfId="8" applyFont="1" applyBorder="1" applyAlignment="1">
      <alignment horizontal="center" vertical="center" wrapText="1"/>
    </xf>
    <xf numFmtId="168" fontId="30" fillId="9" borderId="1" xfId="5" applyNumberFormat="1" applyFont="1" applyFill="1" applyBorder="1" applyAlignment="1">
      <alignment vertical="center" wrapText="1"/>
    </xf>
    <xf numFmtId="0" fontId="29" fillId="12" borderId="1" xfId="0" applyFont="1" applyFill="1" applyBorder="1" applyAlignment="1">
      <alignment horizontal="center" vertical="center"/>
    </xf>
    <xf numFmtId="168" fontId="27" fillId="12" borderId="1" xfId="5" applyNumberFormat="1" applyFont="1" applyFill="1" applyBorder="1" applyAlignment="1">
      <alignment vertical="center"/>
    </xf>
    <xf numFmtId="167" fontId="29" fillId="12" borderId="1" xfId="5" applyNumberFormat="1" applyFont="1" applyFill="1" applyBorder="1" applyAlignment="1">
      <alignment vertical="center"/>
    </xf>
    <xf numFmtId="168" fontId="30" fillId="0" borderId="1" xfId="5" applyNumberFormat="1" applyFont="1" applyBorder="1" applyAlignment="1">
      <alignment vertical="center"/>
    </xf>
    <xf numFmtId="0" fontId="26" fillId="12" borderId="1" xfId="0" applyFont="1" applyFill="1" applyBorder="1" applyAlignment="1">
      <alignment horizontal="center" vertical="center"/>
    </xf>
    <xf numFmtId="168" fontId="29" fillId="12" borderId="1" xfId="5" applyNumberFormat="1" applyFont="1" applyFill="1" applyBorder="1" applyAlignment="1">
      <alignment vertical="center"/>
    </xf>
    <xf numFmtId="0" fontId="28" fillId="0" borderId="0" xfId="0" applyFont="1" applyAlignment="1">
      <alignment horizontal="center"/>
    </xf>
    <xf numFmtId="167" fontId="28" fillId="0" borderId="0" xfId="5" applyNumberFormat="1" applyFont="1"/>
    <xf numFmtId="167" fontId="31" fillId="0" borderId="0" xfId="5" applyNumberFormat="1" applyFont="1"/>
    <xf numFmtId="0" fontId="29" fillId="13" borderId="6" xfId="5" applyNumberFormat="1" applyFont="1" applyFill="1" applyBorder="1" applyAlignment="1">
      <alignment wrapText="1"/>
    </xf>
    <xf numFmtId="0" fontId="29" fillId="14" borderId="6" xfId="5" applyNumberFormat="1" applyFont="1" applyFill="1" applyBorder="1" applyAlignment="1">
      <alignment vertical="center" wrapText="1"/>
    </xf>
    <xf numFmtId="0" fontId="29" fillId="13" borderId="6" xfId="5" applyNumberFormat="1" applyFont="1" applyFill="1" applyBorder="1" applyAlignment="1">
      <alignment vertical="center" wrapText="1"/>
    </xf>
    <xf numFmtId="0" fontId="32" fillId="9" borderId="1" xfId="7" applyFont="1" applyFill="1" applyBorder="1" applyAlignment="1">
      <alignment horizontal="center" vertical="center" wrapText="1"/>
    </xf>
    <xf numFmtId="164" fontId="33" fillId="0" borderId="0" xfId="5" applyFont="1" applyAlignment="1">
      <alignment horizontal="right"/>
    </xf>
    <xf numFmtId="167" fontId="33" fillId="0" borderId="0" xfId="5" applyNumberFormat="1" applyFont="1" applyAlignment="1">
      <alignment horizontal="right" vertical="top" wrapText="1"/>
    </xf>
    <xf numFmtId="167" fontId="27" fillId="0" borderId="0" xfId="5" applyNumberFormat="1" applyFont="1"/>
    <xf numFmtId="167" fontId="27" fillId="0" borderId="1" xfId="5" applyNumberFormat="1" applyFont="1" applyBorder="1"/>
    <xf numFmtId="167" fontId="29" fillId="9" borderId="1" xfId="5" applyNumberFormat="1" applyFont="1" applyFill="1" applyBorder="1"/>
    <xf numFmtId="167" fontId="29" fillId="0" borderId="1" xfId="5" applyNumberFormat="1" applyFont="1" applyBorder="1"/>
    <xf numFmtId="167" fontId="29" fillId="0" borderId="1" xfId="5" applyNumberFormat="1" applyFont="1" applyBorder="1" applyAlignment="1">
      <alignment vertical="center"/>
    </xf>
    <xf numFmtId="167" fontId="29" fillId="9" borderId="1" xfId="5" applyNumberFormat="1" applyFont="1" applyFill="1" applyBorder="1" applyAlignment="1">
      <alignment vertical="center"/>
    </xf>
    <xf numFmtId="164" fontId="30" fillId="9" borderId="1" xfId="5" applyFont="1" applyFill="1" applyBorder="1"/>
    <xf numFmtId="167" fontId="30" fillId="13" borderId="1" xfId="5" applyNumberFormat="1" applyFont="1" applyFill="1" applyBorder="1" applyAlignment="1">
      <alignment horizontal="center" vertical="center"/>
    </xf>
    <xf numFmtId="167" fontId="30" fillId="9" borderId="1" xfId="5" applyNumberFormat="1" applyFont="1" applyFill="1" applyBorder="1" applyAlignment="1">
      <alignment horizontal="center" vertical="center"/>
    </xf>
    <xf numFmtId="164" fontId="30" fillId="9" borderId="1" xfId="5" applyFont="1" applyFill="1" applyBorder="1" applyAlignment="1">
      <alignment horizontal="center" vertical="center"/>
    </xf>
    <xf numFmtId="167" fontId="26" fillId="16" borderId="1" xfId="5" applyNumberFormat="1" applyFont="1" applyFill="1" applyBorder="1" applyAlignment="1">
      <alignment horizontal="center" vertical="center" wrapText="1"/>
    </xf>
    <xf numFmtId="0" fontId="0" fillId="9" borderId="1" xfId="5" applyNumberFormat="1" applyFont="1" applyFill="1" applyBorder="1" applyAlignment="1">
      <alignment vertical="center" wrapText="1"/>
    </xf>
    <xf numFmtId="167" fontId="34" fillId="0" borderId="0" xfId="5" applyNumberFormat="1" applyFont="1" applyAlignment="1">
      <alignment horizontal="right"/>
    </xf>
    <xf numFmtId="164" fontId="33" fillId="0" borderId="0" xfId="5" applyFont="1" applyAlignment="1">
      <alignment horizontal="left"/>
    </xf>
    <xf numFmtId="167" fontId="33" fillId="0" borderId="0" xfId="5" applyNumberFormat="1" applyFont="1" applyAlignment="1">
      <alignment horizontal="left" vertical="top" wrapText="1"/>
    </xf>
    <xf numFmtId="164" fontId="24" fillId="0" borderId="0" xfId="5" applyFont="1" applyAlignment="1">
      <alignment horizontal="right"/>
    </xf>
    <xf numFmtId="167" fontId="24" fillId="0" borderId="0" xfId="5" applyNumberFormat="1" applyFont="1" applyAlignment="1">
      <alignment horizontal="right" vertical="top" wrapText="1"/>
    </xf>
    <xf numFmtId="167" fontId="36" fillId="9" borderId="1" xfId="5" applyNumberFormat="1" applyFont="1" applyFill="1" applyBorder="1"/>
    <xf numFmtId="167" fontId="36" fillId="0" borderId="1" xfId="5" applyNumberFormat="1" applyFont="1" applyBorder="1"/>
    <xf numFmtId="167" fontId="36" fillId="12" borderId="1" xfId="5" applyNumberFormat="1" applyFont="1" applyFill="1" applyBorder="1"/>
    <xf numFmtId="167" fontId="36" fillId="0" borderId="1" xfId="5" applyNumberFormat="1" applyFont="1" applyFill="1" applyBorder="1"/>
    <xf numFmtId="167" fontId="36" fillId="0" borderId="1" xfId="5" applyNumberFormat="1" applyFont="1" applyBorder="1" applyAlignment="1">
      <alignment vertical="center"/>
    </xf>
    <xf numFmtId="167" fontId="36" fillId="9" borderId="1" xfId="5" applyNumberFormat="1" applyFont="1" applyFill="1" applyBorder="1" applyAlignment="1">
      <alignment vertical="center"/>
    </xf>
    <xf numFmtId="167" fontId="35" fillId="12" borderId="1" xfId="5" applyNumberFormat="1" applyFont="1" applyFill="1" applyBorder="1"/>
    <xf numFmtId="167" fontId="36" fillId="9" borderId="1" xfId="5" applyNumberFormat="1" applyFont="1" applyFill="1" applyBorder="1" applyAlignment="1">
      <alignment vertical="center" wrapText="1"/>
    </xf>
    <xf numFmtId="167" fontId="35" fillId="13" borderId="1" xfId="5" applyNumberFormat="1" applyFont="1" applyFill="1" applyBorder="1" applyAlignment="1">
      <alignment vertical="center"/>
    </xf>
    <xf numFmtId="167" fontId="35" fillId="15" borderId="1" xfId="5" applyNumberFormat="1" applyFont="1" applyFill="1" applyBorder="1" applyAlignment="1">
      <alignment vertical="center"/>
    </xf>
    <xf numFmtId="167" fontId="36" fillId="0" borderId="1" xfId="5" applyNumberFormat="1" applyFont="1" applyFill="1" applyBorder="1" applyAlignment="1">
      <alignment vertical="center"/>
    </xf>
    <xf numFmtId="167" fontId="36" fillId="12" borderId="1" xfId="5" applyNumberFormat="1" applyFont="1" applyFill="1" applyBorder="1" applyAlignment="1">
      <alignment vertical="center"/>
    </xf>
    <xf numFmtId="167" fontId="35" fillId="12" borderId="1" xfId="5" applyNumberFormat="1" applyFont="1" applyFill="1" applyBorder="1" applyAlignment="1">
      <alignment vertical="center"/>
    </xf>
    <xf numFmtId="167" fontId="37" fillId="0" borderId="0" xfId="5" applyNumberFormat="1" applyFont="1"/>
    <xf numFmtId="167" fontId="31" fillId="0" borderId="1" xfId="5" applyNumberFormat="1" applyFont="1" applyBorder="1" applyAlignment="1">
      <alignment horizontal="right"/>
    </xf>
    <xf numFmtId="167" fontId="31" fillId="0" borderId="1" xfId="5" applyNumberFormat="1" applyFont="1" applyBorder="1"/>
    <xf numFmtId="0" fontId="38" fillId="0" borderId="0" xfId="0" applyFont="1"/>
    <xf numFmtId="10" fontId="38" fillId="0" borderId="0" xfId="0" applyNumberFormat="1" applyFont="1"/>
    <xf numFmtId="10" fontId="38" fillId="0" borderId="0" xfId="6" applyNumberFormat="1" applyFont="1"/>
    <xf numFmtId="10" fontId="38" fillId="0" borderId="0" xfId="0" applyNumberFormat="1" applyFont="1" applyAlignment="1">
      <alignment vertical="center"/>
    </xf>
    <xf numFmtId="0" fontId="38" fillId="0" borderId="0" xfId="0" applyFont="1" applyAlignment="1">
      <alignment vertical="center"/>
    </xf>
    <xf numFmtId="1" fontId="11" fillId="9" borderId="1" xfId="7" applyNumberFormat="1" applyFont="1" applyFill="1" applyBorder="1" applyAlignment="1">
      <alignment horizontal="left" vertical="center" wrapText="1"/>
    </xf>
    <xf numFmtId="164" fontId="28" fillId="0" borderId="0" xfId="0" applyNumberFormat="1" applyFont="1" applyAlignment="1">
      <alignment vertical="center"/>
    </xf>
    <xf numFmtId="0" fontId="27" fillId="9" borderId="1" xfId="7" applyFont="1" applyFill="1" applyBorder="1" applyAlignment="1">
      <alignment horizontal="center" vertical="center" wrapText="1"/>
    </xf>
    <xf numFmtId="0" fontId="29" fillId="13" borderId="10" xfId="5" applyNumberFormat="1" applyFont="1" applyFill="1" applyBorder="1" applyAlignment="1">
      <alignment vertical="top" wrapText="1"/>
    </xf>
    <xf numFmtId="0" fontId="29" fillId="13" borderId="5" xfId="5" applyNumberFormat="1" applyFont="1" applyFill="1" applyBorder="1" applyAlignment="1">
      <alignment vertical="top" wrapText="1"/>
    </xf>
    <xf numFmtId="0" fontId="29" fillId="14" borderId="10" xfId="5" applyNumberFormat="1" applyFont="1" applyFill="1" applyBorder="1" applyAlignment="1">
      <alignment wrapText="1"/>
    </xf>
    <xf numFmtId="0" fontId="29" fillId="14" borderId="5" xfId="5" applyNumberFormat="1" applyFont="1" applyFill="1" applyBorder="1" applyAlignment="1">
      <alignment wrapText="1"/>
    </xf>
    <xf numFmtId="0" fontId="29" fillId="14" borderId="10" xfId="5" applyNumberFormat="1" applyFont="1" applyFill="1" applyBorder="1" applyAlignment="1">
      <alignment vertical="center" wrapText="1"/>
    </xf>
    <xf numFmtId="0" fontId="29" fillId="14" borderId="5" xfId="5" applyNumberFormat="1" applyFont="1" applyFill="1" applyBorder="1" applyAlignment="1">
      <alignment vertical="center" wrapText="1"/>
    </xf>
    <xf numFmtId="0" fontId="29" fillId="13" borderId="10" xfId="5" applyNumberFormat="1" applyFont="1" applyFill="1" applyBorder="1" applyAlignment="1">
      <alignment vertical="center" wrapText="1"/>
    </xf>
    <xf numFmtId="0" fontId="29" fillId="13" borderId="5" xfId="5" applyNumberFormat="1" applyFont="1" applyFill="1" applyBorder="1" applyAlignment="1">
      <alignment vertical="center" wrapText="1"/>
    </xf>
    <xf numFmtId="168" fontId="27" fillId="0" borderId="0" xfId="5" applyNumberFormat="1" applyFont="1" applyAlignment="1">
      <alignment vertical="center" wrapText="1"/>
    </xf>
    <xf numFmtId="167" fontId="27" fillId="12" borderId="22" xfId="5" applyNumberFormat="1" applyFont="1" applyFill="1" applyBorder="1" applyAlignment="1">
      <alignment horizontal="center" vertical="center" wrapText="1"/>
    </xf>
    <xf numFmtId="167" fontId="40" fillId="0" borderId="1" xfId="5" applyNumberFormat="1" applyFont="1" applyBorder="1"/>
    <xf numFmtId="167" fontId="40" fillId="0" borderId="1" xfId="5" applyNumberFormat="1" applyFont="1" applyBorder="1" applyAlignment="1">
      <alignment vertical="center"/>
    </xf>
    <xf numFmtId="167" fontId="40" fillId="9" borderId="1" xfId="5" applyNumberFormat="1" applyFont="1" applyFill="1" applyBorder="1" applyAlignment="1">
      <alignment vertical="center"/>
    </xf>
    <xf numFmtId="167" fontId="41" fillId="0" borderId="0" xfId="5" applyNumberFormat="1" applyFont="1"/>
    <xf numFmtId="167" fontId="42" fillId="0" borderId="0" xfId="5" applyNumberFormat="1" applyFont="1"/>
    <xf numFmtId="167" fontId="39" fillId="0" borderId="1" xfId="5" applyNumberFormat="1" applyFont="1" applyBorder="1"/>
    <xf numFmtId="167" fontId="39" fillId="0" borderId="1" xfId="5" applyNumberFormat="1" applyFont="1" applyBorder="1" applyAlignment="1">
      <alignment vertical="center"/>
    </xf>
    <xf numFmtId="167" fontId="39" fillId="9" borderId="1" xfId="5" applyNumberFormat="1" applyFont="1" applyFill="1" applyBorder="1" applyAlignment="1">
      <alignment vertical="center"/>
    </xf>
    <xf numFmtId="167" fontId="11" fillId="0" borderId="1" xfId="5" applyNumberFormat="1" applyFont="1" applyBorder="1"/>
    <xf numFmtId="167" fontId="28" fillId="0" borderId="0" xfId="5" applyNumberFormat="1" applyFont="1" applyAlignment="1">
      <alignment vertical="center"/>
    </xf>
    <xf numFmtId="167" fontId="40" fillId="0" borderId="3" xfId="5" applyNumberFormat="1" applyFont="1" applyBorder="1" applyAlignment="1">
      <alignment vertical="center"/>
    </xf>
    <xf numFmtId="167" fontId="39" fillId="9" borderId="3" xfId="5" applyNumberFormat="1" applyFont="1" applyFill="1" applyBorder="1" applyAlignment="1">
      <alignment vertical="center"/>
    </xf>
    <xf numFmtId="167" fontId="11" fillId="0" borderId="3" xfId="5" applyNumberFormat="1" applyFont="1" applyBorder="1" applyAlignment="1">
      <alignment vertical="center"/>
    </xf>
    <xf numFmtId="167" fontId="11" fillId="0" borderId="1" xfId="5" applyNumberFormat="1" applyFont="1" applyBorder="1" applyAlignment="1">
      <alignment vertical="center"/>
    </xf>
    <xf numFmtId="164" fontId="11" fillId="0" borderId="3" xfId="5" applyFont="1" applyBorder="1" applyAlignment="1">
      <alignment vertical="center"/>
    </xf>
    <xf numFmtId="167" fontId="29" fillId="17" borderId="8" xfId="5" applyNumberFormat="1" applyFont="1" applyFill="1" applyBorder="1"/>
    <xf numFmtId="167" fontId="39" fillId="17" borderId="8" xfId="5" applyNumberFormat="1" applyFont="1" applyFill="1" applyBorder="1"/>
    <xf numFmtId="167" fontId="29" fillId="17" borderId="1" xfId="5" applyNumberFormat="1" applyFont="1" applyFill="1" applyBorder="1"/>
    <xf numFmtId="167" fontId="39" fillId="17" borderId="1" xfId="5" applyNumberFormat="1" applyFont="1" applyFill="1" applyBorder="1"/>
    <xf numFmtId="167" fontId="43" fillId="17" borderId="1" xfId="5" applyNumberFormat="1" applyFont="1" applyFill="1" applyBorder="1"/>
    <xf numFmtId="167" fontId="44" fillId="0" borderId="0" xfId="5" applyNumberFormat="1" applyFont="1"/>
    <xf numFmtId="0" fontId="31" fillId="0" borderId="0" xfId="0" applyFont="1" applyAlignment="1">
      <alignment horizontal="center"/>
    </xf>
    <xf numFmtId="0" fontId="50" fillId="0" borderId="0" xfId="0" applyFont="1"/>
    <xf numFmtId="167" fontId="50" fillId="0" borderId="0" xfId="5" applyNumberFormat="1" applyFont="1"/>
    <xf numFmtId="167" fontId="2" fillId="8" borderId="10" xfId="5" applyNumberFormat="1" applyFont="1" applyFill="1" applyBorder="1"/>
    <xf numFmtId="0" fontId="56" fillId="0" borderId="0" xfId="0" applyFont="1"/>
    <xf numFmtId="167" fontId="2" fillId="8" borderId="6" xfId="5" applyNumberFormat="1" applyFont="1" applyFill="1" applyBorder="1"/>
    <xf numFmtId="167" fontId="2" fillId="8" borderId="5" xfId="5" applyNumberFormat="1" applyFont="1" applyFill="1" applyBorder="1"/>
    <xf numFmtId="167" fontId="56" fillId="0" borderId="0" xfId="5" applyNumberFormat="1" applyFont="1"/>
    <xf numFmtId="167" fontId="39" fillId="12" borderId="21" xfId="5" applyNumberFormat="1" applyFont="1" applyFill="1" applyBorder="1" applyAlignment="1">
      <alignment horizontal="center" vertical="center" wrapText="1"/>
    </xf>
    <xf numFmtId="167" fontId="43" fillId="12" borderId="24" xfId="5" applyNumberFormat="1" applyFont="1" applyFill="1" applyBorder="1" applyAlignment="1">
      <alignment horizontal="center" vertical="center" wrapText="1"/>
    </xf>
    <xf numFmtId="167" fontId="27" fillId="12" borderId="31" xfId="5" applyNumberFormat="1" applyFont="1" applyFill="1" applyBorder="1" applyAlignment="1">
      <alignment horizontal="center" vertical="center" wrapText="1"/>
    </xf>
    <xf numFmtId="167" fontId="27" fillId="12" borderId="33" xfId="5" applyNumberFormat="1" applyFont="1" applyFill="1" applyBorder="1" applyAlignment="1">
      <alignment horizontal="center" vertical="center" wrapText="1"/>
    </xf>
    <xf numFmtId="167" fontId="52" fillId="8" borderId="4" xfId="5" applyNumberFormat="1" applyFont="1" applyFill="1" applyBorder="1"/>
    <xf numFmtId="167" fontId="36" fillId="0" borderId="4" xfId="5" applyNumberFormat="1" applyFont="1" applyBorder="1" applyAlignment="1">
      <alignment vertical="center"/>
    </xf>
    <xf numFmtId="167" fontId="36" fillId="9" borderId="6" xfId="5" applyNumberFormat="1" applyFont="1" applyFill="1" applyBorder="1" applyAlignment="1">
      <alignment vertical="center"/>
    </xf>
    <xf numFmtId="167" fontId="36" fillId="17" borderId="9" xfId="5" applyNumberFormat="1" applyFont="1" applyFill="1" applyBorder="1"/>
    <xf numFmtId="167" fontId="36" fillId="9" borderId="4" xfId="5" applyNumberFormat="1" applyFont="1" applyFill="1" applyBorder="1" applyAlignment="1">
      <alignment vertical="center"/>
    </xf>
    <xf numFmtId="167" fontId="36" fillId="0" borderId="6" xfId="5" applyNumberFormat="1" applyFont="1" applyBorder="1" applyAlignment="1">
      <alignment vertical="center"/>
    </xf>
    <xf numFmtId="167" fontId="36" fillId="0" borderId="6" xfId="5" applyNumberFormat="1" applyFont="1" applyBorder="1"/>
    <xf numFmtId="167" fontId="36" fillId="17" borderId="6" xfId="5" applyNumberFormat="1" applyFont="1" applyFill="1" applyBorder="1"/>
    <xf numFmtId="167" fontId="27" fillId="12" borderId="35" xfId="5" applyNumberFormat="1" applyFont="1" applyFill="1" applyBorder="1" applyAlignment="1">
      <alignment horizontal="center" vertical="center" wrapText="1"/>
    </xf>
    <xf numFmtId="167" fontId="0" fillId="0" borderId="36" xfId="5" applyNumberFormat="1" applyFont="1" applyBorder="1" applyAlignment="1">
      <alignment vertical="center"/>
    </xf>
    <xf numFmtId="167" fontId="30" fillId="9" borderId="38" xfId="5" applyNumberFormat="1" applyFont="1" applyFill="1" applyBorder="1" applyAlignment="1">
      <alignment vertical="center"/>
    </xf>
    <xf numFmtId="167" fontId="29" fillId="17" borderId="40" xfId="5" applyNumberFormat="1" applyFont="1" applyFill="1" applyBorder="1"/>
    <xf numFmtId="167" fontId="30" fillId="0" borderId="38" xfId="5" applyNumberFormat="1" applyFont="1" applyBorder="1" applyAlignment="1">
      <alignment vertical="center"/>
    </xf>
    <xf numFmtId="167" fontId="0" fillId="0" borderId="38" xfId="5" applyNumberFormat="1" applyFont="1" applyBorder="1"/>
    <xf numFmtId="167" fontId="29" fillId="17" borderId="38" xfId="5" applyNumberFormat="1" applyFont="1" applyFill="1" applyBorder="1"/>
    <xf numFmtId="167" fontId="29" fillId="9" borderId="38" xfId="5" applyNumberFormat="1" applyFont="1" applyFill="1" applyBorder="1" applyAlignment="1">
      <alignment vertical="center"/>
    </xf>
    <xf numFmtId="167" fontId="43" fillId="9" borderId="39" xfId="5" applyNumberFormat="1" applyFont="1" applyFill="1" applyBorder="1" applyAlignment="1">
      <alignment vertical="center"/>
    </xf>
    <xf numFmtId="167" fontId="43" fillId="17" borderId="41" xfId="5" applyNumberFormat="1" applyFont="1" applyFill="1" applyBorder="1"/>
    <xf numFmtId="167" fontId="29" fillId="9" borderId="36" xfId="5" applyNumberFormat="1" applyFont="1" applyFill="1" applyBorder="1" applyAlignment="1">
      <alignment vertical="center"/>
    </xf>
    <xf numFmtId="167" fontId="43" fillId="9" borderId="37" xfId="5" applyNumberFormat="1" applyFont="1" applyFill="1" applyBorder="1" applyAlignment="1">
      <alignment vertical="center"/>
    </xf>
    <xf numFmtId="167" fontId="27" fillId="0" borderId="38" xfId="5" applyNumberFormat="1" applyFont="1" applyBorder="1"/>
    <xf numFmtId="167" fontId="43" fillId="0" borderId="39" xfId="5" applyNumberFormat="1" applyFont="1" applyBorder="1"/>
    <xf numFmtId="167" fontId="29" fillId="0" borderId="38" xfId="5" applyNumberFormat="1" applyFont="1" applyBorder="1" applyAlignment="1">
      <alignment vertical="center"/>
    </xf>
    <xf numFmtId="167" fontId="43" fillId="0" borderId="39" xfId="5" applyNumberFormat="1" applyFont="1" applyBorder="1" applyAlignment="1">
      <alignment vertical="center"/>
    </xf>
    <xf numFmtId="167" fontId="43" fillId="17" borderId="39" xfId="5" applyNumberFormat="1" applyFont="1" applyFill="1" applyBorder="1"/>
    <xf numFmtId="167" fontId="52" fillId="8" borderId="2" xfId="5" applyNumberFormat="1" applyFont="1" applyFill="1" applyBorder="1"/>
    <xf numFmtId="167" fontId="36" fillId="9" borderId="2" xfId="5" applyNumberFormat="1" applyFont="1" applyFill="1" applyBorder="1" applyAlignment="1">
      <alignment vertical="center"/>
    </xf>
    <xf numFmtId="167" fontId="36" fillId="9" borderId="5" xfId="5" applyNumberFormat="1" applyFont="1" applyFill="1" applyBorder="1" applyAlignment="1">
      <alignment vertical="center"/>
    </xf>
    <xf numFmtId="167" fontId="36" fillId="17" borderId="7" xfId="5" applyNumberFormat="1" applyFont="1" applyFill="1" applyBorder="1"/>
    <xf numFmtId="167" fontId="36" fillId="9" borderId="5" xfId="5" applyNumberFormat="1" applyFont="1" applyFill="1" applyBorder="1" applyAlignment="1">
      <alignment vertical="center" wrapText="1"/>
    </xf>
    <xf numFmtId="167" fontId="36" fillId="0" borderId="5" xfId="5" applyNumberFormat="1" applyFont="1" applyFill="1" applyBorder="1" applyAlignment="1">
      <alignment vertical="center"/>
    </xf>
    <xf numFmtId="167" fontId="36" fillId="0" borderId="5" xfId="5" applyNumberFormat="1" applyFont="1" applyBorder="1" applyAlignment="1">
      <alignment vertical="center"/>
    </xf>
    <xf numFmtId="167" fontId="36" fillId="0" borderId="5" xfId="5" applyNumberFormat="1" applyFont="1" applyBorder="1"/>
    <xf numFmtId="167" fontId="36" fillId="17" borderId="5" xfId="5" applyNumberFormat="1" applyFont="1" applyFill="1" applyBorder="1"/>
    <xf numFmtId="0" fontId="27" fillId="0" borderId="36" xfId="0" applyFont="1" applyBorder="1" applyAlignment="1">
      <alignment horizontal="center" vertical="center"/>
    </xf>
    <xf numFmtId="0" fontId="27" fillId="9" borderId="38" xfId="7" applyFont="1" applyFill="1" applyBorder="1" applyAlignment="1">
      <alignment horizontal="center" vertical="center" wrapText="1"/>
    </xf>
    <xf numFmtId="1" fontId="30" fillId="9" borderId="39" xfId="7" applyNumberFormat="1" applyFont="1" applyFill="1" applyBorder="1" applyAlignment="1">
      <alignment horizontal="left" vertical="center" wrapText="1"/>
    </xf>
    <xf numFmtId="1" fontId="30" fillId="9" borderId="39" xfId="7" applyNumberFormat="1" applyFont="1" applyFill="1" applyBorder="1" applyAlignment="1">
      <alignment vertical="center" wrapText="1"/>
    </xf>
    <xf numFmtId="0" fontId="39" fillId="9" borderId="38" xfId="7" applyFont="1" applyFill="1" applyBorder="1" applyAlignment="1">
      <alignment horizontal="center" vertical="center" wrapText="1"/>
    </xf>
    <xf numFmtId="1" fontId="39" fillId="9" borderId="39" xfId="7" applyNumberFormat="1" applyFont="1" applyFill="1" applyBorder="1" applyAlignment="1">
      <alignment vertical="center" wrapText="1"/>
    </xf>
    <xf numFmtId="1" fontId="40" fillId="9" borderId="39" xfId="7" applyNumberFormat="1" applyFont="1" applyFill="1" applyBorder="1" applyAlignment="1">
      <alignment horizontal="left" vertical="center" wrapText="1"/>
    </xf>
    <xf numFmtId="1" fontId="40" fillId="9" borderId="39" xfId="7" applyNumberFormat="1" applyFont="1" applyFill="1" applyBorder="1" applyAlignment="1">
      <alignment vertical="center" wrapText="1"/>
    </xf>
    <xf numFmtId="168" fontId="29" fillId="17" borderId="38" xfId="5" applyNumberFormat="1" applyFont="1" applyFill="1" applyBorder="1"/>
    <xf numFmtId="168" fontId="29" fillId="17" borderId="41" xfId="5" applyNumberFormat="1" applyFont="1" applyFill="1" applyBorder="1"/>
    <xf numFmtId="0" fontId="27" fillId="0" borderId="38" xfId="0" applyFont="1" applyBorder="1" applyAlignment="1">
      <alignment horizontal="center" vertical="center"/>
    </xf>
    <xf numFmtId="1" fontId="11" fillId="9" borderId="37" xfId="7" applyNumberFormat="1" applyFont="1" applyFill="1" applyBorder="1" applyAlignment="1">
      <alignment horizontal="left" vertical="center" wrapText="1"/>
    </xf>
    <xf numFmtId="0" fontId="30" fillId="9" borderId="39" xfId="7" applyFont="1" applyFill="1" applyBorder="1" applyAlignment="1">
      <alignment horizontal="left" vertical="center" wrapText="1"/>
    </xf>
    <xf numFmtId="0" fontId="30" fillId="0" borderId="39" xfId="7" applyFont="1" applyBorder="1" applyAlignment="1">
      <alignment horizontal="left" vertical="center" wrapText="1"/>
    </xf>
    <xf numFmtId="0" fontId="30" fillId="9" borderId="39" xfId="5" applyNumberFormat="1" applyFont="1" applyFill="1" applyBorder="1" applyAlignment="1">
      <alignment vertical="center" wrapText="1"/>
    </xf>
    <xf numFmtId="0" fontId="29" fillId="0" borderId="39" xfId="7" applyFont="1" applyBorder="1" applyAlignment="1">
      <alignment horizontal="left" vertical="center" wrapText="1"/>
    </xf>
    <xf numFmtId="0" fontId="29" fillId="0" borderId="38" xfId="7" applyFont="1" applyBorder="1" applyAlignment="1">
      <alignment horizontal="center" vertical="center" wrapText="1"/>
    </xf>
    <xf numFmtId="0" fontId="29" fillId="9" borderId="38" xfId="5" applyNumberFormat="1" applyFont="1" applyFill="1" applyBorder="1" applyAlignment="1">
      <alignment horizontal="center" vertical="center" wrapText="1"/>
    </xf>
    <xf numFmtId="0" fontId="0" fillId="9" borderId="39" xfId="5" applyNumberFormat="1" applyFont="1" applyFill="1" applyBorder="1" applyAlignment="1">
      <alignment vertical="center" wrapText="1"/>
    </xf>
    <xf numFmtId="0" fontId="29" fillId="9" borderId="38" xfId="7" applyFont="1" applyFill="1" applyBorder="1" applyAlignment="1">
      <alignment horizontal="center" vertical="center" wrapText="1"/>
    </xf>
    <xf numFmtId="0" fontId="32" fillId="9" borderId="38" xfId="7" applyFont="1" applyFill="1" applyBorder="1" applyAlignment="1">
      <alignment horizontal="center" vertical="center" wrapText="1"/>
    </xf>
    <xf numFmtId="168" fontId="29" fillId="17" borderId="39" xfId="5" applyNumberFormat="1" applyFont="1" applyFill="1" applyBorder="1"/>
    <xf numFmtId="0" fontId="31" fillId="0" borderId="43" xfId="0" applyFont="1" applyBorder="1" applyAlignment="1">
      <alignment horizontal="center"/>
    </xf>
    <xf numFmtId="167" fontId="59" fillId="0" borderId="0" xfId="5" applyNumberFormat="1" applyFont="1"/>
    <xf numFmtId="167" fontId="27" fillId="12" borderId="46" xfId="5" applyNumberFormat="1" applyFont="1" applyFill="1" applyBorder="1" applyAlignment="1">
      <alignment horizontal="center" vertical="center" wrapText="1"/>
    </xf>
    <xf numFmtId="167" fontId="39" fillId="12" borderId="19" xfId="5" applyNumberFormat="1" applyFont="1" applyFill="1" applyBorder="1" applyAlignment="1">
      <alignment horizontal="center" vertical="center" wrapText="1"/>
    </xf>
    <xf numFmtId="167" fontId="43" fillId="12" borderId="47" xfId="5" applyNumberFormat="1" applyFont="1" applyFill="1" applyBorder="1" applyAlignment="1">
      <alignment horizontal="center" vertical="center" wrapText="1"/>
    </xf>
    <xf numFmtId="167" fontId="0" fillId="0" borderId="38" xfId="5" applyNumberFormat="1" applyFont="1" applyBorder="1" applyAlignment="1">
      <alignment vertical="center"/>
    </xf>
    <xf numFmtId="167" fontId="61" fillId="0" borderId="39" xfId="5" applyNumberFormat="1" applyFont="1" applyBorder="1" applyAlignment="1">
      <alignment vertical="center"/>
    </xf>
    <xf numFmtId="167" fontId="61" fillId="9" borderId="39" xfId="5" applyNumberFormat="1" applyFont="1" applyFill="1" applyBorder="1" applyAlignment="1">
      <alignment vertical="center"/>
    </xf>
    <xf numFmtId="167" fontId="45" fillId="0" borderId="0" xfId="5" applyNumberFormat="1" applyFont="1" applyAlignment="1">
      <alignment horizontal="center"/>
    </xf>
    <xf numFmtId="9" fontId="31" fillId="0" borderId="20" xfId="6" applyFont="1" applyBorder="1" applyAlignment="1">
      <alignment horizontal="center"/>
    </xf>
    <xf numFmtId="9" fontId="42" fillId="0" borderId="22" xfId="6" applyFont="1" applyBorder="1" applyAlignment="1">
      <alignment horizontal="center"/>
    </xf>
    <xf numFmtId="9" fontId="44" fillId="0" borderId="23" xfId="6" applyFont="1" applyBorder="1" applyAlignment="1">
      <alignment horizontal="center"/>
    </xf>
    <xf numFmtId="9" fontId="31" fillId="0" borderId="43" xfId="6" applyFont="1" applyBorder="1" applyAlignment="1">
      <alignment horizontal="center"/>
    </xf>
    <xf numFmtId="9" fontId="31" fillId="0" borderId="11" xfId="6" applyFont="1" applyBorder="1" applyAlignment="1">
      <alignment horizontal="center"/>
    </xf>
    <xf numFmtId="9" fontId="44" fillId="0" borderId="44" xfId="6" applyFont="1" applyBorder="1" applyAlignment="1">
      <alignment horizontal="center"/>
    </xf>
    <xf numFmtId="167" fontId="31" fillId="0" borderId="0" xfId="5" applyNumberFormat="1" applyFont="1" applyAlignment="1">
      <alignment horizontal="center"/>
    </xf>
    <xf numFmtId="167" fontId="43" fillId="17" borderId="38" xfId="5" applyNumberFormat="1" applyFont="1" applyFill="1" applyBorder="1"/>
    <xf numFmtId="167" fontId="61" fillId="0" borderId="37" xfId="5" applyNumberFormat="1" applyFont="1" applyBorder="1" applyAlignment="1">
      <alignment vertical="center"/>
    </xf>
    <xf numFmtId="167" fontId="2" fillId="8" borderId="34" xfId="5" applyNumberFormat="1" applyFont="1" applyFill="1" applyBorder="1"/>
    <xf numFmtId="167" fontId="53" fillId="8" borderId="29" xfId="5" applyNumberFormat="1" applyFont="1" applyFill="1" applyBorder="1"/>
    <xf numFmtId="167" fontId="60" fillId="8" borderId="30" xfId="5" applyNumberFormat="1" applyFont="1" applyFill="1" applyBorder="1"/>
    <xf numFmtId="9" fontId="1" fillId="8" borderId="34" xfId="6" applyFont="1" applyFill="1" applyBorder="1" applyAlignment="1">
      <alignment horizontal="center" vertical="center"/>
    </xf>
    <xf numFmtId="9" fontId="54" fillId="8" borderId="29" xfId="6" applyFont="1" applyFill="1" applyBorder="1" applyAlignment="1">
      <alignment horizontal="center" vertical="center"/>
    </xf>
    <xf numFmtId="9" fontId="55" fillId="8" borderId="30" xfId="6" applyFont="1" applyFill="1" applyBorder="1" applyAlignment="1">
      <alignment horizontal="center" vertical="center"/>
    </xf>
    <xf numFmtId="0" fontId="1" fillId="8" borderId="49" xfId="0" applyFont="1" applyFill="1" applyBorder="1" applyAlignment="1">
      <alignment horizontal="center" vertical="center"/>
    </xf>
    <xf numFmtId="1" fontId="51" fillId="8" borderId="16" xfId="7" applyNumberFormat="1" applyFont="1" applyFill="1" applyBorder="1" applyAlignment="1">
      <alignment horizontal="left" vertical="center" wrapText="1"/>
    </xf>
    <xf numFmtId="0" fontId="27" fillId="0" borderId="18" xfId="0" applyFont="1" applyBorder="1" applyAlignment="1">
      <alignment horizontal="center" vertical="center"/>
    </xf>
    <xf numFmtId="1" fontId="29" fillId="9" borderId="48" xfId="7" applyNumberFormat="1" applyFont="1" applyFill="1" applyBorder="1" applyAlignment="1">
      <alignment horizontal="left" vertical="center" wrapText="1"/>
    </xf>
    <xf numFmtId="168" fontId="29" fillId="17" borderId="40" xfId="5" applyNumberFormat="1" applyFont="1" applyFill="1" applyBorder="1"/>
    <xf numFmtId="0" fontId="1" fillId="8" borderId="34" xfId="0" applyFont="1" applyFill="1" applyBorder="1" applyAlignment="1">
      <alignment horizontal="center" vertical="center"/>
    </xf>
    <xf numFmtId="1" fontId="51" fillId="8" borderId="45" xfId="7" applyNumberFormat="1" applyFont="1" applyFill="1" applyBorder="1" applyAlignment="1">
      <alignment horizontal="left" vertical="center" wrapText="1"/>
    </xf>
    <xf numFmtId="0" fontId="31" fillId="0" borderId="44" xfId="0" applyFont="1" applyBorder="1" applyAlignment="1">
      <alignment horizontal="left"/>
    </xf>
    <xf numFmtId="167" fontId="5" fillId="12" borderId="28" xfId="5" applyNumberFormat="1" applyFont="1" applyFill="1" applyBorder="1" applyAlignment="1">
      <alignment horizontal="center" vertical="center" wrapText="1"/>
    </xf>
    <xf numFmtId="167" fontId="5" fillId="12" borderId="27" xfId="5" applyNumberFormat="1" applyFont="1" applyFill="1" applyBorder="1" applyAlignment="1">
      <alignment horizontal="center" vertical="center" wrapText="1"/>
    </xf>
    <xf numFmtId="164" fontId="63" fillId="0" borderId="0" xfId="5" applyFont="1"/>
    <xf numFmtId="170" fontId="1" fillId="8" borderId="34" xfId="6" applyNumberFormat="1" applyFont="1" applyFill="1" applyBorder="1" applyAlignment="1">
      <alignment horizontal="center" vertical="center"/>
    </xf>
    <xf numFmtId="10" fontId="0" fillId="0" borderId="0" xfId="6" applyNumberFormat="1" applyFont="1"/>
    <xf numFmtId="9" fontId="27" fillId="0" borderId="0" xfId="6" applyFont="1"/>
    <xf numFmtId="0" fontId="57" fillId="0" borderId="0" xfId="0" applyFont="1"/>
    <xf numFmtId="0" fontId="58" fillId="0" borderId="0" xfId="0" applyFont="1"/>
    <xf numFmtId="9" fontId="57" fillId="0" borderId="0" xfId="6" applyFont="1"/>
    <xf numFmtId="1" fontId="58" fillId="0" borderId="38" xfId="0" applyNumberFormat="1" applyFont="1" applyBorder="1"/>
    <xf numFmtId="1" fontId="58" fillId="0" borderId="36" xfId="0" applyNumberFormat="1" applyFont="1" applyBorder="1"/>
    <xf numFmtId="0" fontId="57" fillId="0" borderId="25" xfId="0" applyFont="1" applyBorder="1"/>
    <xf numFmtId="0" fontId="58" fillId="0" borderId="40" xfId="0" applyFont="1" applyBorder="1"/>
    <xf numFmtId="171" fontId="44" fillId="0" borderId="45" xfId="5" applyNumberFormat="1" applyFont="1" applyBorder="1"/>
    <xf numFmtId="171" fontId="42" fillId="0" borderId="26" xfId="5" applyNumberFormat="1" applyFont="1" applyBorder="1"/>
    <xf numFmtId="171" fontId="31" fillId="0" borderId="25" xfId="5" applyNumberFormat="1" applyFont="1" applyBorder="1"/>
    <xf numFmtId="0" fontId="38" fillId="0" borderId="0" xfId="0" applyFont="1" applyAlignment="1">
      <alignment horizontal="left"/>
    </xf>
    <xf numFmtId="168" fontId="46" fillId="17" borderId="38" xfId="5" applyNumberFormat="1" applyFont="1" applyFill="1" applyBorder="1"/>
    <xf numFmtId="168" fontId="46" fillId="17" borderId="39" xfId="5" applyNumberFormat="1" applyFont="1" applyFill="1" applyBorder="1"/>
    <xf numFmtId="10" fontId="47" fillId="17" borderId="5" xfId="6" applyNumberFormat="1" applyFont="1" applyFill="1" applyBorder="1"/>
    <xf numFmtId="167" fontId="47" fillId="17" borderId="6" xfId="5" applyNumberFormat="1" applyFont="1" applyFill="1" applyBorder="1"/>
    <xf numFmtId="167" fontId="46" fillId="17" borderId="38" xfId="5" applyNumberFormat="1" applyFont="1" applyFill="1" applyBorder="1"/>
    <xf numFmtId="167" fontId="48" fillId="17" borderId="1" xfId="5" applyNumberFormat="1" applyFont="1" applyFill="1" applyBorder="1"/>
    <xf numFmtId="167" fontId="49" fillId="17" borderId="39" xfId="5" applyNumberFormat="1" applyFont="1" applyFill="1" applyBorder="1"/>
    <xf numFmtId="167" fontId="46" fillId="17" borderId="1" xfId="5" applyNumberFormat="1" applyFont="1" applyFill="1" applyBorder="1"/>
    <xf numFmtId="168" fontId="46" fillId="18" borderId="38" xfId="5" applyNumberFormat="1" applyFont="1" applyFill="1" applyBorder="1"/>
    <xf numFmtId="168" fontId="46" fillId="18" borderId="39" xfId="5" applyNumberFormat="1" applyFont="1" applyFill="1" applyBorder="1"/>
    <xf numFmtId="167" fontId="47" fillId="18" borderId="5" xfId="5" applyNumberFormat="1" applyFont="1" applyFill="1" applyBorder="1"/>
    <xf numFmtId="167" fontId="47" fillId="18" borderId="6" xfId="5" applyNumberFormat="1" applyFont="1" applyFill="1" applyBorder="1"/>
    <xf numFmtId="167" fontId="46" fillId="18" borderId="38" xfId="5" applyNumberFormat="1" applyFont="1" applyFill="1" applyBorder="1"/>
    <xf numFmtId="167" fontId="48" fillId="18" borderId="1" xfId="5" applyNumberFormat="1" applyFont="1" applyFill="1" applyBorder="1"/>
    <xf numFmtId="167" fontId="49" fillId="18" borderId="39" xfId="5" applyNumberFormat="1" applyFont="1" applyFill="1" applyBorder="1"/>
    <xf numFmtId="9" fontId="57" fillId="19" borderId="26" xfId="6" applyFont="1" applyFill="1" applyBorder="1"/>
    <xf numFmtId="9" fontId="57" fillId="19" borderId="3" xfId="6" applyFont="1" applyFill="1" applyBorder="1" applyAlignment="1">
      <alignment horizontal="center" vertical="center"/>
    </xf>
    <xf numFmtId="9" fontId="57" fillId="19" borderId="1" xfId="6" applyFont="1" applyFill="1" applyBorder="1" applyAlignment="1">
      <alignment horizontal="center" vertical="center"/>
    </xf>
    <xf numFmtId="170" fontId="57" fillId="19" borderId="1" xfId="6" applyNumberFormat="1" applyFont="1" applyFill="1" applyBorder="1" applyAlignment="1">
      <alignment horizontal="center" vertical="center"/>
    </xf>
    <xf numFmtId="170" fontId="57" fillId="19" borderId="8" xfId="6" applyNumberFormat="1" applyFont="1" applyFill="1" applyBorder="1" applyAlignment="1">
      <alignment horizontal="center" vertical="center"/>
    </xf>
    <xf numFmtId="0" fontId="57" fillId="0" borderId="30" xfId="0" applyFont="1" applyBorder="1"/>
    <xf numFmtId="9" fontId="58" fillId="0" borderId="50" xfId="6" applyFont="1" applyBorder="1" applyAlignment="1">
      <alignment horizontal="center" vertical="center"/>
    </xf>
    <xf numFmtId="9" fontId="58" fillId="0" borderId="42" xfId="6" applyFont="1" applyBorder="1" applyAlignment="1">
      <alignment horizontal="center" vertical="center"/>
    </xf>
    <xf numFmtId="170" fontId="58" fillId="0" borderId="42" xfId="6" applyNumberFormat="1" applyFont="1" applyBorder="1" applyAlignment="1">
      <alignment horizontal="center" vertical="center"/>
    </xf>
    <xf numFmtId="170" fontId="58" fillId="0" borderId="51" xfId="6" applyNumberFormat="1" applyFont="1" applyBorder="1" applyAlignment="1">
      <alignment horizontal="center" vertical="center"/>
    </xf>
    <xf numFmtId="9" fontId="57" fillId="0" borderId="30" xfId="6" applyFont="1" applyBorder="1" applyAlignment="1">
      <alignment horizontal="center" vertical="center"/>
    </xf>
    <xf numFmtId="9" fontId="57" fillId="4" borderId="45" xfId="6" applyFont="1" applyFill="1" applyBorder="1"/>
    <xf numFmtId="9" fontId="57" fillId="4" borderId="37" xfId="6" applyFont="1" applyFill="1" applyBorder="1" applyAlignment="1">
      <alignment horizontal="center" vertical="center"/>
    </xf>
    <xf numFmtId="170" fontId="57" fillId="4" borderId="39" xfId="6" applyNumberFormat="1" applyFont="1" applyFill="1" applyBorder="1" applyAlignment="1">
      <alignment horizontal="center" vertical="center"/>
    </xf>
    <xf numFmtId="170" fontId="57" fillId="4" borderId="41" xfId="6" applyNumberFormat="1" applyFont="1" applyFill="1" applyBorder="1" applyAlignment="1">
      <alignment horizontal="center" vertical="center"/>
    </xf>
    <xf numFmtId="0" fontId="27" fillId="0" borderId="1" xfId="0" applyFont="1" applyBorder="1"/>
    <xf numFmtId="9" fontId="27" fillId="0" borderId="1" xfId="6" applyFont="1" applyBorder="1"/>
    <xf numFmtId="0" fontId="27" fillId="0" borderId="1" xfId="0" applyFont="1" applyBorder="1" applyAlignment="1">
      <alignment horizontal="center"/>
    </xf>
    <xf numFmtId="164" fontId="27" fillId="0" borderId="1" xfId="5" applyFont="1" applyBorder="1"/>
    <xf numFmtId="9" fontId="0" fillId="0" borderId="1" xfId="6" applyFont="1" applyBorder="1"/>
    <xf numFmtId="0" fontId="0" fillId="0" borderId="1" xfId="0" applyBorder="1" applyAlignment="1">
      <alignment wrapText="1"/>
    </xf>
    <xf numFmtId="167" fontId="0" fillId="0" borderId="1" xfId="6" applyNumberFormat="1" applyFont="1" applyBorder="1"/>
    <xf numFmtId="9" fontId="28" fillId="0" borderId="0" xfId="6" applyFont="1"/>
    <xf numFmtId="9" fontId="64" fillId="0" borderId="1" xfId="6" applyFont="1" applyBorder="1"/>
    <xf numFmtId="9" fontId="59" fillId="0" borderId="0" xfId="6" applyFont="1"/>
    <xf numFmtId="0" fontId="29" fillId="0" borderId="10" xfId="7" applyFont="1" applyBorder="1" applyAlignment="1">
      <alignment horizontal="center" vertical="center" wrapText="1"/>
    </xf>
    <xf numFmtId="0" fontId="29" fillId="9" borderId="10" xfId="7" applyFont="1" applyFill="1" applyBorder="1" applyAlignment="1">
      <alignment horizontal="center" vertical="center" wrapText="1"/>
    </xf>
    <xf numFmtId="0" fontId="38" fillId="0" borderId="0" xfId="0" applyFont="1" applyAlignment="1">
      <alignment horizontal="left" wrapText="1"/>
    </xf>
    <xf numFmtId="0" fontId="1" fillId="8" borderId="0" xfId="0" applyFont="1" applyFill="1" applyAlignment="1">
      <alignment horizontal="center" vertical="center" wrapText="1"/>
    </xf>
    <xf numFmtId="168" fontId="29" fillId="17" borderId="52" xfId="5" applyNumberFormat="1" applyFont="1" applyFill="1" applyBorder="1" applyAlignment="1">
      <alignment wrapText="1"/>
    </xf>
    <xf numFmtId="0" fontId="1" fillId="8" borderId="29" xfId="0" applyFont="1" applyFill="1" applyBorder="1" applyAlignment="1">
      <alignment horizontal="center" vertical="center" wrapText="1"/>
    </xf>
    <xf numFmtId="0" fontId="27" fillId="0" borderId="10" xfId="0" applyFont="1" applyBorder="1" applyAlignment="1">
      <alignment horizontal="center" vertical="center" wrapText="1"/>
    </xf>
    <xf numFmtId="168" fontId="29" fillId="17" borderId="10" xfId="5" applyNumberFormat="1" applyFont="1" applyFill="1" applyBorder="1" applyAlignment="1">
      <alignment wrapText="1"/>
    </xf>
    <xf numFmtId="168" fontId="46" fillId="18" borderId="10" xfId="5" applyNumberFormat="1" applyFont="1" applyFill="1" applyBorder="1" applyAlignment="1">
      <alignment wrapText="1"/>
    </xf>
    <xf numFmtId="0" fontId="31" fillId="0" borderId="11" xfId="0" applyFont="1" applyBorder="1" applyAlignment="1">
      <alignment horizontal="center" wrapText="1"/>
    </xf>
    <xf numFmtId="0" fontId="28" fillId="0" borderId="0" xfId="0" applyFont="1" applyAlignment="1">
      <alignment horizontal="center" wrapText="1"/>
    </xf>
    <xf numFmtId="0" fontId="27" fillId="0" borderId="10" xfId="0" applyFont="1" applyBorder="1" applyAlignment="1">
      <alignment horizontal="left" vertical="center" wrapText="1"/>
    </xf>
    <xf numFmtId="0" fontId="27" fillId="9" borderId="10" xfId="7" applyFont="1" applyFill="1" applyBorder="1" applyAlignment="1">
      <alignment horizontal="left" vertical="center" wrapText="1"/>
    </xf>
    <xf numFmtId="0" fontId="29" fillId="9" borderId="10" xfId="5" applyNumberFormat="1" applyFont="1" applyFill="1" applyBorder="1" applyAlignment="1">
      <alignment horizontal="left" vertical="center" wrapText="1"/>
    </xf>
    <xf numFmtId="0" fontId="29" fillId="9" borderId="10" xfId="7" applyFont="1" applyFill="1" applyBorder="1" applyAlignment="1">
      <alignment horizontal="left" vertical="center" wrapText="1"/>
    </xf>
    <xf numFmtId="0" fontId="11" fillId="0" borderId="39" xfId="7" applyFont="1" applyBorder="1" applyAlignment="1">
      <alignment horizontal="left" vertical="center" wrapText="1"/>
    </xf>
    <xf numFmtId="0" fontId="11" fillId="9" borderId="39" xfId="5" applyNumberFormat="1" applyFont="1" applyFill="1" applyBorder="1" applyAlignment="1">
      <alignment vertical="center" wrapText="1"/>
    </xf>
    <xf numFmtId="0" fontId="29" fillId="9" borderId="39" xfId="5" applyNumberFormat="1" applyFont="1" applyFill="1" applyBorder="1" applyAlignment="1">
      <alignment vertical="center" wrapText="1"/>
    </xf>
    <xf numFmtId="0" fontId="66" fillId="0" borderId="0" xfId="0" applyFont="1" applyAlignment="1">
      <alignment horizontal="left"/>
    </xf>
    <xf numFmtId="164" fontId="27" fillId="0" borderId="3" xfId="5" applyFont="1" applyBorder="1"/>
    <xf numFmtId="9" fontId="27" fillId="0" borderId="3" xfId="6" applyFont="1" applyBorder="1"/>
    <xf numFmtId="9" fontId="64" fillId="0" borderId="3" xfId="6" applyFont="1" applyBorder="1"/>
    <xf numFmtId="167" fontId="0" fillId="0" borderId="3" xfId="6" applyNumberFormat="1" applyFont="1" applyBorder="1"/>
    <xf numFmtId="0" fontId="27" fillId="19" borderId="25" xfId="0" applyFont="1" applyFill="1" applyBorder="1" applyAlignment="1">
      <alignment horizontal="center" vertical="center"/>
    </xf>
    <xf numFmtId="9" fontId="27" fillId="19" borderId="26" xfId="6" applyFont="1" applyFill="1" applyBorder="1" applyAlignment="1">
      <alignment horizontal="center" vertical="center"/>
    </xf>
    <xf numFmtId="9" fontId="27" fillId="19" borderId="26" xfId="6" applyFont="1" applyFill="1" applyBorder="1" applyAlignment="1">
      <alignment horizontal="center" vertical="center" wrapText="1"/>
    </xf>
    <xf numFmtId="0" fontId="64" fillId="19" borderId="26" xfId="0" applyFont="1" applyFill="1" applyBorder="1" applyAlignment="1">
      <alignment horizontal="center" vertical="center"/>
    </xf>
    <xf numFmtId="0" fontId="27" fillId="19" borderId="26" xfId="0" applyFont="1" applyFill="1" applyBorder="1" applyAlignment="1">
      <alignment horizontal="center" vertical="center" wrapText="1"/>
    </xf>
    <xf numFmtId="0" fontId="5" fillId="19" borderId="45" xfId="0" applyFont="1" applyFill="1" applyBorder="1" applyAlignment="1">
      <alignment horizontal="center" vertical="center" wrapText="1"/>
    </xf>
    <xf numFmtId="0" fontId="27" fillId="0" borderId="36" xfId="0" applyFont="1" applyBorder="1" applyAlignment="1">
      <alignment wrapText="1"/>
    </xf>
    <xf numFmtId="9" fontId="65" fillId="0" borderId="37" xfId="6" applyFont="1" applyBorder="1"/>
    <xf numFmtId="0" fontId="27" fillId="0" borderId="38" xfId="0" applyFont="1" applyBorder="1" applyAlignment="1">
      <alignment wrapText="1"/>
    </xf>
    <xf numFmtId="9" fontId="65" fillId="0" borderId="39" xfId="6" applyFont="1" applyBorder="1"/>
    <xf numFmtId="0" fontId="27" fillId="0" borderId="40" xfId="0" applyFont="1" applyBorder="1" applyAlignment="1">
      <alignment wrapText="1"/>
    </xf>
    <xf numFmtId="164" fontId="27" fillId="0" borderId="8" xfId="5" applyFont="1" applyBorder="1"/>
    <xf numFmtId="9" fontId="27" fillId="0" borderId="8" xfId="6" applyFont="1" applyBorder="1"/>
    <xf numFmtId="9" fontId="64" fillId="0" borderId="8" xfId="6" applyFont="1" applyBorder="1"/>
    <xf numFmtId="167" fontId="0" fillId="0" borderId="8" xfId="6" applyNumberFormat="1" applyFont="1" applyBorder="1"/>
    <xf numFmtId="9" fontId="65" fillId="0" borderId="41" xfId="6" applyFont="1" applyBorder="1"/>
    <xf numFmtId="0" fontId="27" fillId="19" borderId="25" xfId="0" applyFont="1" applyFill="1" applyBorder="1"/>
    <xf numFmtId="164" fontId="27" fillId="19" borderId="26" xfId="5" applyFont="1" applyFill="1" applyBorder="1"/>
    <xf numFmtId="9" fontId="27" fillId="19" borderId="26" xfId="6" applyFont="1" applyFill="1" applyBorder="1"/>
    <xf numFmtId="9" fontId="64" fillId="19" borderId="26" xfId="6" applyFont="1" applyFill="1" applyBorder="1"/>
    <xf numFmtId="167" fontId="27" fillId="19" borderId="26" xfId="6" applyNumberFormat="1" applyFont="1" applyFill="1" applyBorder="1"/>
    <xf numFmtId="9" fontId="5" fillId="19" borderId="45" xfId="6" applyFont="1" applyFill="1" applyBorder="1"/>
    <xf numFmtId="1" fontId="67" fillId="9" borderId="39" xfId="7" applyNumberFormat="1" applyFont="1" applyFill="1" applyBorder="1" applyAlignment="1">
      <alignment vertical="center" wrapText="1"/>
    </xf>
    <xf numFmtId="1" fontId="68" fillId="9" borderId="39" xfId="7" applyNumberFormat="1" applyFont="1" applyFill="1" applyBorder="1" applyAlignment="1">
      <alignment horizontal="left" vertical="center" wrapText="1"/>
    </xf>
    <xf numFmtId="1" fontId="68" fillId="9" borderId="39" xfId="7" applyNumberFormat="1" applyFont="1" applyFill="1" applyBorder="1" applyAlignment="1">
      <alignment vertical="center" wrapText="1"/>
    </xf>
    <xf numFmtId="167" fontId="69" fillId="0" borderId="0" xfId="5" applyNumberFormat="1" applyFont="1"/>
    <xf numFmtId="167" fontId="67" fillId="12" borderId="19" xfId="5" applyNumberFormat="1" applyFont="1" applyFill="1" applyBorder="1" applyAlignment="1">
      <alignment horizontal="center" vertical="center" wrapText="1"/>
    </xf>
    <xf numFmtId="167" fontId="71" fillId="8" borderId="29" xfId="5" applyNumberFormat="1" applyFont="1" applyFill="1" applyBorder="1"/>
    <xf numFmtId="167" fontId="68" fillId="0" borderId="3" xfId="5" applyNumberFormat="1" applyFont="1" applyBorder="1" applyAlignment="1">
      <alignment vertical="center"/>
    </xf>
    <xf numFmtId="167" fontId="68" fillId="9" borderId="1" xfId="5" applyNumberFormat="1" applyFont="1" applyFill="1" applyBorder="1" applyAlignment="1">
      <alignment vertical="center"/>
    </xf>
    <xf numFmtId="167" fontId="67" fillId="17" borderId="1" xfId="5" applyNumberFormat="1" applyFont="1" applyFill="1" applyBorder="1"/>
    <xf numFmtId="167" fontId="68" fillId="0" borderId="1" xfId="5" applyNumberFormat="1" applyFont="1" applyBorder="1" applyAlignment="1">
      <alignment vertical="center"/>
    </xf>
    <xf numFmtId="167" fontId="68" fillId="0" borderId="1" xfId="5" applyNumberFormat="1" applyFont="1" applyBorder="1"/>
    <xf numFmtId="167" fontId="70" fillId="18" borderId="1" xfId="5" applyNumberFormat="1" applyFont="1" applyFill="1" applyBorder="1"/>
    <xf numFmtId="9" fontId="38" fillId="0" borderId="22" xfId="6" applyFont="1" applyBorder="1" applyAlignment="1">
      <alignment horizontal="center"/>
    </xf>
    <xf numFmtId="167" fontId="38" fillId="0" borderId="0" xfId="5" applyNumberFormat="1" applyFont="1"/>
    <xf numFmtId="167" fontId="67" fillId="17" borderId="8" xfId="5" applyNumberFormat="1" applyFont="1" applyFill="1" applyBorder="1"/>
    <xf numFmtId="9" fontId="72" fillId="8" borderId="29" xfId="6" applyFont="1" applyFill="1" applyBorder="1" applyAlignment="1">
      <alignment horizontal="center" vertical="center"/>
    </xf>
    <xf numFmtId="167" fontId="67" fillId="9" borderId="1" xfId="5" applyNumberFormat="1" applyFont="1" applyFill="1" applyBorder="1" applyAlignment="1">
      <alignment vertical="center"/>
    </xf>
    <xf numFmtId="167" fontId="67" fillId="9" borderId="3" xfId="5" applyNumberFormat="1" applyFont="1" applyFill="1" applyBorder="1" applyAlignment="1">
      <alignment vertical="center"/>
    </xf>
    <xf numFmtId="167" fontId="67" fillId="0" borderId="1" xfId="5" applyNumberFormat="1" applyFont="1" applyBorder="1"/>
    <xf numFmtId="167" fontId="67" fillId="0" borderId="1" xfId="5" applyNumberFormat="1" applyFont="1" applyBorder="1" applyAlignment="1">
      <alignment vertical="center"/>
    </xf>
    <xf numFmtId="10" fontId="38" fillId="0" borderId="11" xfId="6" applyNumberFormat="1" applyFont="1" applyBorder="1" applyAlignment="1">
      <alignment horizontal="center"/>
    </xf>
    <xf numFmtId="171" fontId="38" fillId="0" borderId="26" xfId="5" applyNumberFormat="1" applyFont="1" applyBorder="1"/>
    <xf numFmtId="168" fontId="27" fillId="12" borderId="32" xfId="5" applyNumberFormat="1" applyFont="1" applyFill="1" applyBorder="1" applyAlignment="1">
      <alignment horizontal="center" vertical="center" wrapText="1"/>
    </xf>
    <xf numFmtId="168" fontId="27" fillId="12" borderId="24" xfId="5" applyNumberFormat="1" applyFont="1" applyFill="1" applyBorder="1" applyAlignment="1">
      <alignment horizontal="center" vertical="center" wrapText="1"/>
    </xf>
    <xf numFmtId="167" fontId="5" fillId="12" borderId="34" xfId="5" applyNumberFormat="1" applyFont="1" applyFill="1" applyBorder="1" applyAlignment="1">
      <alignment horizontal="center" vertical="center" wrapText="1"/>
    </xf>
    <xf numFmtId="167" fontId="70" fillId="12" borderId="29" xfId="5" applyNumberFormat="1" applyFont="1" applyFill="1" applyBorder="1" applyAlignment="1">
      <alignment horizontal="center" vertical="center" wrapText="1"/>
    </xf>
    <xf numFmtId="167" fontId="5" fillId="12" borderId="30" xfId="5" applyNumberFormat="1" applyFont="1" applyFill="1" applyBorder="1" applyAlignment="1">
      <alignment horizontal="center" vertical="center" wrapText="1"/>
    </xf>
    <xf numFmtId="0" fontId="27" fillId="9" borderId="46" xfId="7" applyFont="1" applyFill="1" applyBorder="1" applyAlignment="1">
      <alignment horizontal="center" vertical="center" wrapText="1"/>
    </xf>
    <xf numFmtId="0" fontId="27" fillId="9" borderId="53" xfId="7" applyFont="1" applyFill="1" applyBorder="1" applyAlignment="1">
      <alignment horizontal="center" vertical="center" wrapText="1"/>
    </xf>
    <xf numFmtId="0" fontId="27" fillId="9" borderId="36" xfId="7" applyFont="1" applyFill="1" applyBorder="1" applyAlignment="1">
      <alignment horizontal="center" vertical="center" wrapText="1"/>
    </xf>
    <xf numFmtId="0" fontId="39" fillId="9" borderId="40" xfId="7" applyFont="1" applyFill="1" applyBorder="1" applyAlignment="1">
      <alignment horizontal="center" vertical="center" wrapText="1"/>
    </xf>
    <xf numFmtId="0" fontId="39" fillId="9" borderId="53" xfId="7" applyFont="1" applyFill="1" applyBorder="1" applyAlignment="1">
      <alignment horizontal="center" vertical="center" wrapText="1"/>
    </xf>
    <xf numFmtId="0" fontId="39" fillId="9" borderId="36" xfId="7" applyFont="1" applyFill="1" applyBorder="1" applyAlignment="1">
      <alignment horizontal="center" vertical="center" wrapText="1"/>
    </xf>
    <xf numFmtId="0" fontId="27" fillId="0" borderId="19" xfId="0" applyFont="1" applyBorder="1" applyAlignment="1">
      <alignment horizontal="left" vertical="center" wrapText="1"/>
    </xf>
    <xf numFmtId="0" fontId="27" fillId="0" borderId="16" xfId="0" applyFont="1" applyBorder="1" applyAlignment="1">
      <alignment horizontal="left" vertical="center" wrapText="1"/>
    </xf>
    <xf numFmtId="0" fontId="27" fillId="0" borderId="3" xfId="0" applyFont="1" applyBorder="1" applyAlignment="1">
      <alignment horizontal="left" vertical="center" wrapText="1"/>
    </xf>
    <xf numFmtId="169" fontId="27" fillId="12" borderId="19" xfId="7" applyNumberFormat="1" applyFont="1" applyFill="1" applyBorder="1" applyAlignment="1">
      <alignment horizontal="center" vertical="center" wrapText="1"/>
    </xf>
    <xf numFmtId="169" fontId="27" fillId="12" borderId="21" xfId="7" applyNumberFormat="1" applyFont="1" applyFill="1" applyBorder="1" applyAlignment="1">
      <alignment horizontal="center" vertical="center" wrapText="1"/>
    </xf>
    <xf numFmtId="0" fontId="27" fillId="9" borderId="19" xfId="7" applyFont="1" applyFill="1" applyBorder="1" applyAlignment="1">
      <alignment horizontal="left" vertical="center" wrapText="1"/>
    </xf>
    <xf numFmtId="0" fontId="27" fillId="9" borderId="16" xfId="7" applyFont="1" applyFill="1" applyBorder="1" applyAlignment="1">
      <alignment horizontal="left" vertical="center" wrapText="1"/>
    </xf>
    <xf numFmtId="0" fontId="27" fillId="9" borderId="3" xfId="7" applyFont="1" applyFill="1" applyBorder="1" applyAlignment="1">
      <alignment horizontal="left" vertical="center" wrapText="1"/>
    </xf>
    <xf numFmtId="0" fontId="67" fillId="9" borderId="8" xfId="7" applyFont="1" applyFill="1" applyBorder="1" applyAlignment="1">
      <alignment horizontal="left" vertical="center" wrapText="1"/>
    </xf>
    <xf numFmtId="0" fontId="67" fillId="9" borderId="16" xfId="7" applyFont="1" applyFill="1" applyBorder="1" applyAlignment="1">
      <alignment horizontal="left" vertical="center" wrapText="1"/>
    </xf>
    <xf numFmtId="0" fontId="67" fillId="9" borderId="3" xfId="7" applyFont="1" applyFill="1" applyBorder="1" applyAlignment="1">
      <alignment horizontal="left" vertical="center" wrapText="1"/>
    </xf>
    <xf numFmtId="0" fontId="27" fillId="0" borderId="8" xfId="0" applyFont="1" applyBorder="1" applyAlignment="1">
      <alignment horizontal="left" vertical="center" wrapText="1"/>
    </xf>
    <xf numFmtId="169" fontId="27" fillId="12" borderId="18" xfId="7" applyNumberFormat="1" applyFont="1" applyFill="1" applyBorder="1" applyAlignment="1">
      <alignment horizontal="center" vertical="center" wrapText="1"/>
    </xf>
    <xf numFmtId="169" fontId="27" fillId="12" borderId="20" xfId="7" applyNumberFormat="1" applyFont="1" applyFill="1" applyBorder="1" applyAlignment="1">
      <alignment horizontal="center" vertical="center" wrapText="1"/>
    </xf>
    <xf numFmtId="0" fontId="27" fillId="0" borderId="46" xfId="0" applyFont="1" applyBorder="1" applyAlignment="1">
      <alignment horizontal="center" vertical="center"/>
    </xf>
    <xf numFmtId="0" fontId="27" fillId="0" borderId="36" xfId="0" applyFont="1" applyBorder="1" applyAlignment="1">
      <alignment horizontal="center" vertical="center"/>
    </xf>
    <xf numFmtId="0" fontId="27" fillId="0" borderId="40" xfId="0" applyFont="1" applyBorder="1" applyAlignment="1">
      <alignment horizontal="center" vertical="center"/>
    </xf>
    <xf numFmtId="0" fontId="27" fillId="0" borderId="53" xfId="0" applyFont="1" applyBorder="1" applyAlignment="1">
      <alignment horizontal="center" vertical="center"/>
    </xf>
    <xf numFmtId="0" fontId="62" fillId="12" borderId="17" xfId="0" applyFont="1" applyFill="1" applyBorder="1" applyAlignment="1">
      <alignment horizontal="center"/>
    </xf>
    <xf numFmtId="167" fontId="30" fillId="9" borderId="8" xfId="5" applyNumberFormat="1" applyFont="1" applyFill="1" applyBorder="1" applyAlignment="1">
      <alignment horizontal="center" vertical="center"/>
    </xf>
    <xf numFmtId="167" fontId="30" fillId="9" borderId="16" xfId="5" applyNumberFormat="1" applyFont="1" applyFill="1" applyBorder="1" applyAlignment="1">
      <alignment horizontal="center" vertical="center"/>
    </xf>
    <xf numFmtId="167" fontId="30" fillId="9" borderId="3" xfId="5" applyNumberFormat="1" applyFont="1" applyFill="1" applyBorder="1" applyAlignment="1">
      <alignment horizontal="center" vertical="center"/>
    </xf>
    <xf numFmtId="167" fontId="30" fillId="9" borderId="8" xfId="5" applyNumberFormat="1" applyFont="1" applyFill="1" applyBorder="1" applyAlignment="1">
      <alignment horizontal="center" vertical="center" wrapText="1"/>
    </xf>
    <xf numFmtId="167" fontId="30" fillId="9" borderId="16" xfId="5" applyNumberFormat="1" applyFont="1" applyFill="1" applyBorder="1" applyAlignment="1">
      <alignment horizontal="center" vertical="center" wrapText="1"/>
    </xf>
    <xf numFmtId="167" fontId="30" fillId="9" borderId="3" xfId="5" applyNumberFormat="1" applyFont="1" applyFill="1" applyBorder="1" applyAlignment="1">
      <alignment horizontal="center" vertical="center" wrapText="1"/>
    </xf>
    <xf numFmtId="167" fontId="5" fillId="12" borderId="29" xfId="5" applyNumberFormat="1" applyFont="1" applyFill="1" applyBorder="1" applyAlignment="1">
      <alignment horizontal="center" vertical="center" wrapText="1"/>
    </xf>
    <xf numFmtId="9" fontId="57" fillId="4" borderId="41" xfId="6" applyFont="1" applyFill="1" applyBorder="1" applyAlignment="1">
      <alignment horizontal="center" vertical="center"/>
    </xf>
    <xf numFmtId="9" fontId="57" fillId="4" borderId="47" xfId="6" applyFont="1" applyFill="1" applyBorder="1" applyAlignment="1">
      <alignment horizontal="center" vertical="center"/>
    </xf>
    <xf numFmtId="9" fontId="57" fillId="4" borderId="37" xfId="6" applyFont="1" applyFill="1" applyBorder="1" applyAlignment="1">
      <alignment horizontal="center" vertical="center"/>
    </xf>
    <xf numFmtId="169" fontId="26" fillId="10" borderId="1" xfId="7" applyNumberFormat="1" applyFont="1" applyFill="1" applyBorder="1" applyAlignment="1">
      <alignment horizontal="center" vertical="center" wrapText="1"/>
    </xf>
    <xf numFmtId="168" fontId="27" fillId="0" borderId="17" xfId="5" applyNumberFormat="1" applyFont="1" applyBorder="1" applyAlignment="1">
      <alignment horizontal="left"/>
    </xf>
    <xf numFmtId="168" fontId="26" fillId="10" borderId="8" xfId="5" applyNumberFormat="1" applyFont="1" applyFill="1" applyBorder="1" applyAlignment="1">
      <alignment horizontal="center" vertical="center" wrapText="1"/>
    </xf>
    <xf numFmtId="168" fontId="26" fillId="10" borderId="3" xfId="5" applyNumberFormat="1" applyFont="1" applyFill="1" applyBorder="1" applyAlignment="1">
      <alignment horizontal="center" vertical="center" wrapText="1"/>
    </xf>
  </cellXfs>
  <cellStyles count="9">
    <cellStyle name="Comma" xfId="5" builtinId="3"/>
    <cellStyle name="Comma 2" xfId="2" xr:uid="{C906C125-ED4F-4E57-AB6E-9D1A3CCB5AF6}"/>
    <cellStyle name="Hyperlink" xfId="3" builtinId="8"/>
    <cellStyle name="Normal" xfId="0" builtinId="0"/>
    <cellStyle name="Normal 2" xfId="1" xr:uid="{F0948721-EAF1-4C37-9208-05831D10F7D6}"/>
    <cellStyle name="Normal 2 2" xfId="7" xr:uid="{86177253-DEC8-4B0E-9EAE-75E3CC029FBD}"/>
    <cellStyle name="Normal 2 2 2" xfId="8" xr:uid="{88C56622-8AFE-485B-97D8-4AB186D24B70}"/>
    <cellStyle name="Normal 6" xfId="4" xr:uid="{0B32A689-1990-440E-AB30-B24A61D2882E}"/>
    <cellStyle name="Percent" xfId="6" builtinId="5"/>
  </cellStyles>
  <dxfs count="10">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b/>
        <strike val="0"/>
        <outline val="0"/>
        <shadow val="0"/>
        <u val="none"/>
        <vertAlign val="baseline"/>
        <sz val="14"/>
        <color theme="1"/>
        <name val="Calibri"/>
        <family val="2"/>
        <scheme val="minor"/>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379105</xdr:colOff>
      <xdr:row>3</xdr:row>
      <xdr:rowOff>95250</xdr:rowOff>
    </xdr:from>
    <xdr:to>
      <xdr:col>2</xdr:col>
      <xdr:colOff>1206500</xdr:colOff>
      <xdr:row>4</xdr:row>
      <xdr:rowOff>454797</xdr:rowOff>
    </xdr:to>
    <xdr:sp macro="" textlink="">
      <xdr:nvSpPr>
        <xdr:cNvPr id="47" name="TextBox 2">
          <a:extLst>
            <a:ext uri="{FF2B5EF4-FFF2-40B4-BE49-F238E27FC236}">
              <a16:creationId xmlns:a16="http://schemas.microsoft.com/office/drawing/2014/main" id="{4F782E03-A77A-4681-BD1A-7348C62B5F7C}"/>
            </a:ext>
          </a:extLst>
        </xdr:cNvPr>
        <xdr:cNvSpPr txBox="1"/>
      </xdr:nvSpPr>
      <xdr:spPr>
        <a:xfrm>
          <a:off x="985672" y="730250"/>
          <a:ext cx="1433962" cy="1098801"/>
        </a:xfrm>
        <a:prstGeom prst="rect">
          <a:avLst/>
        </a:prstGeom>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WWF Pakistan</a:t>
          </a:r>
        </a:p>
      </xdr:txBody>
    </xdr:sp>
    <xdr:clientData/>
  </xdr:twoCellAnchor>
  <xdr:twoCellAnchor>
    <xdr:from>
      <xdr:col>5</xdr:col>
      <xdr:colOff>200111</xdr:colOff>
      <xdr:row>5</xdr:row>
      <xdr:rowOff>657139</xdr:rowOff>
    </xdr:from>
    <xdr:to>
      <xdr:col>7</xdr:col>
      <xdr:colOff>123911</xdr:colOff>
      <xdr:row>7</xdr:row>
      <xdr:rowOff>73475</xdr:rowOff>
    </xdr:to>
    <xdr:sp macro="" textlink="">
      <xdr:nvSpPr>
        <xdr:cNvPr id="4" name="TextBox 3">
          <a:extLst>
            <a:ext uri="{FF2B5EF4-FFF2-40B4-BE49-F238E27FC236}">
              <a16:creationId xmlns:a16="http://schemas.microsoft.com/office/drawing/2014/main" id="{D35E743D-E4CE-4B19-BDCA-D1E414EBE99B}"/>
            </a:ext>
          </a:extLst>
        </xdr:cNvPr>
        <xdr:cNvSpPr txBox="1"/>
      </xdr:nvSpPr>
      <xdr:spPr>
        <a:xfrm>
          <a:off x="4743536" y="3419389"/>
          <a:ext cx="1143000" cy="1235611"/>
        </a:xfrm>
        <a:prstGeom prst="rect">
          <a:avLst/>
        </a:prstGeom>
        <a:solidFill>
          <a:schemeClr val="accent5"/>
        </a:solidFill>
        <a:ln w="9525">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Coordination of 3rd party verification</a:t>
          </a:r>
        </a:p>
        <a:p>
          <a:pPr algn="ctr"/>
          <a:r>
            <a:rPr lang="sv-SE" sz="1050">
              <a:solidFill>
                <a:srgbClr val="FF0000"/>
              </a:solidFill>
              <a:latin typeface="Noto IKEA Latin" panose="020B0502040504020204" pitchFamily="34" charset="0"/>
            </a:rPr>
            <a:t>--&gt;</a:t>
          </a:r>
          <a:r>
            <a:rPr lang="sv-SE" sz="1050" baseline="0">
              <a:solidFill>
                <a:srgbClr val="FF0000"/>
              </a:solidFill>
              <a:latin typeface="Noto IKEA Latin" panose="020B0502040504020204" pitchFamily="34" charset="0"/>
            </a:rPr>
            <a:t> remove?</a:t>
          </a:r>
          <a:endParaRPr lang="sv-SE" sz="1050">
            <a:solidFill>
              <a:srgbClr val="FF0000"/>
            </a:solidFill>
            <a:latin typeface="Noto IKEA Latin" panose="020B0502040504020204" pitchFamily="34" charset="0"/>
          </a:endParaRPr>
        </a:p>
      </xdr:txBody>
    </xdr:sp>
    <xdr:clientData/>
  </xdr:twoCellAnchor>
  <xdr:twoCellAnchor>
    <xdr:from>
      <xdr:col>5</xdr:col>
      <xdr:colOff>200111</xdr:colOff>
      <xdr:row>4</xdr:row>
      <xdr:rowOff>722355</xdr:rowOff>
    </xdr:from>
    <xdr:to>
      <xdr:col>7</xdr:col>
      <xdr:colOff>123911</xdr:colOff>
      <xdr:row>5</xdr:row>
      <xdr:rowOff>389237</xdr:rowOff>
    </xdr:to>
    <xdr:sp macro="" textlink="">
      <xdr:nvSpPr>
        <xdr:cNvPr id="5" name="TextBox 4">
          <a:extLst>
            <a:ext uri="{FF2B5EF4-FFF2-40B4-BE49-F238E27FC236}">
              <a16:creationId xmlns:a16="http://schemas.microsoft.com/office/drawing/2014/main" id="{382AA913-00EF-41B9-98BA-7D6A0E4F646A}"/>
            </a:ext>
          </a:extLst>
        </xdr:cNvPr>
        <xdr:cNvSpPr txBox="1"/>
      </xdr:nvSpPr>
      <xdr:spPr>
        <a:xfrm>
          <a:off x="4743536" y="2160630"/>
          <a:ext cx="1143000" cy="990857"/>
        </a:xfrm>
        <a:prstGeom prst="rect">
          <a:avLst/>
        </a:prstGeom>
        <a:solidFill>
          <a:schemeClr val="accent5"/>
        </a:solidFill>
        <a:ln w="9525">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Confirmation</a:t>
          </a:r>
          <a:r>
            <a:rPr lang="sv-SE" sz="1050" baseline="0">
              <a:latin typeface="Noto IKEA Latin" panose="020B0502040504020204" pitchFamily="34" charset="0"/>
            </a:rPr>
            <a:t> of invoices for payments</a:t>
          </a:r>
          <a:endParaRPr lang="sv-SE" sz="1050">
            <a:latin typeface="Noto IKEA Latin" panose="020B0502040504020204" pitchFamily="34" charset="0"/>
          </a:endParaRPr>
        </a:p>
      </xdr:txBody>
    </xdr:sp>
    <xdr:clientData/>
  </xdr:twoCellAnchor>
  <xdr:twoCellAnchor>
    <xdr:from>
      <xdr:col>3</xdr:col>
      <xdr:colOff>423905</xdr:colOff>
      <xdr:row>5</xdr:row>
      <xdr:rowOff>416011</xdr:rowOff>
    </xdr:from>
    <xdr:to>
      <xdr:col>4</xdr:col>
      <xdr:colOff>709655</xdr:colOff>
      <xdr:row>6</xdr:row>
      <xdr:rowOff>224996</xdr:rowOff>
    </xdr:to>
    <xdr:sp macro="" textlink="">
      <xdr:nvSpPr>
        <xdr:cNvPr id="6" name="TextBox 5">
          <a:extLst>
            <a:ext uri="{FF2B5EF4-FFF2-40B4-BE49-F238E27FC236}">
              <a16:creationId xmlns:a16="http://schemas.microsoft.com/office/drawing/2014/main" id="{14989359-DF3B-414A-94E7-E963396F12F4}"/>
            </a:ext>
          </a:extLst>
        </xdr:cNvPr>
        <xdr:cNvSpPr txBox="1"/>
      </xdr:nvSpPr>
      <xdr:spPr>
        <a:xfrm>
          <a:off x="3319505" y="3178261"/>
          <a:ext cx="1104900" cy="866260"/>
        </a:xfrm>
        <a:prstGeom prst="rect">
          <a:avLst/>
        </a:prstGeom>
        <a:solidFill>
          <a:schemeClr val="accent5"/>
        </a:solidFill>
        <a:ln w="9525">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sv-SE" sz="1000">
              <a:latin typeface="Noto IKEA Latin" panose="020B0502040504020204" pitchFamily="34" charset="0"/>
            </a:rPr>
            <a:t>Reference person</a:t>
          </a:r>
          <a:r>
            <a:rPr lang="sv-SE" sz="1000" baseline="0">
              <a:latin typeface="Noto IKEA Latin" panose="020B0502040504020204" pitchFamily="34" charset="0"/>
            </a:rPr>
            <a:t> from IKEA</a:t>
          </a:r>
          <a:endParaRPr lang="sv-SE" sz="1000">
            <a:latin typeface="Noto IKEA Latin" panose="020B0502040504020204" pitchFamily="34" charset="0"/>
          </a:endParaRPr>
        </a:p>
      </xdr:txBody>
    </xdr:sp>
    <xdr:clientData/>
  </xdr:twoCellAnchor>
  <xdr:twoCellAnchor>
    <xdr:from>
      <xdr:col>2</xdr:col>
      <xdr:colOff>1735094</xdr:colOff>
      <xdr:row>4</xdr:row>
      <xdr:rowOff>700732</xdr:rowOff>
    </xdr:from>
    <xdr:to>
      <xdr:col>4</xdr:col>
      <xdr:colOff>319044</xdr:colOff>
      <xdr:row>5</xdr:row>
      <xdr:rowOff>503367</xdr:rowOff>
    </xdr:to>
    <xdr:sp macro="" textlink="">
      <xdr:nvSpPr>
        <xdr:cNvPr id="61" name="TextBox 6">
          <a:extLst>
            <a:ext uri="{FF2B5EF4-FFF2-40B4-BE49-F238E27FC236}">
              <a16:creationId xmlns:a16="http://schemas.microsoft.com/office/drawing/2014/main" id="{E065EFB8-364B-4C55-A21D-260DF259C49D}"/>
            </a:ext>
          </a:extLst>
        </xdr:cNvPr>
        <xdr:cNvSpPr txBox="1"/>
      </xdr:nvSpPr>
      <xdr:spPr>
        <a:xfrm>
          <a:off x="2344694" y="2139007"/>
          <a:ext cx="1689100" cy="1126610"/>
        </a:xfrm>
        <a:prstGeom prst="rect">
          <a:avLst/>
        </a:prstGeom>
        <a:gradFill>
          <a:gsLst>
            <a:gs pos="0">
              <a:srgbClr val="0070C0"/>
            </a:gs>
            <a:gs pos="35000">
              <a:srgbClr val="0070C0"/>
            </a:gs>
            <a:gs pos="100000">
              <a:schemeClr val="accent6">
                <a:lumMod val="100000"/>
              </a:schemeClr>
            </a:gs>
          </a:gsLst>
          <a:path path="circle">
            <a:fillToRect l="50000" t="-80000" r="50000" b="180000"/>
          </a:path>
        </a:gra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Steering</a:t>
          </a:r>
          <a:r>
            <a:rPr lang="sv-SE" sz="1050" baseline="0">
              <a:latin typeface="Noto IKEA Latin" panose="020B0502040504020204" pitchFamily="34" charset="0"/>
            </a:rPr>
            <a:t> group WWF &amp; IKEA RSC representatives </a:t>
          </a:r>
          <a:endParaRPr lang="sv-SE" sz="1050">
            <a:latin typeface="Noto IKEA Latin" panose="020B0502040504020204" pitchFamily="34" charset="0"/>
          </a:endParaRPr>
        </a:p>
      </xdr:txBody>
    </xdr:sp>
    <xdr:clientData/>
  </xdr:twoCellAnchor>
  <xdr:twoCellAnchor>
    <xdr:from>
      <xdr:col>5</xdr:col>
      <xdr:colOff>16933</xdr:colOff>
      <xdr:row>3</xdr:row>
      <xdr:rowOff>108479</xdr:rowOff>
    </xdr:from>
    <xdr:to>
      <xdr:col>7</xdr:col>
      <xdr:colOff>238125</xdr:colOff>
      <xdr:row>4</xdr:row>
      <xdr:rowOff>454797</xdr:rowOff>
    </xdr:to>
    <xdr:sp macro="" textlink="">
      <xdr:nvSpPr>
        <xdr:cNvPr id="25" name="TextBox 7">
          <a:extLst>
            <a:ext uri="{FF2B5EF4-FFF2-40B4-BE49-F238E27FC236}">
              <a16:creationId xmlns:a16="http://schemas.microsoft.com/office/drawing/2014/main" id="{1A065B37-B468-4F7E-BB3D-B41B8C2FC27B}"/>
            </a:ext>
          </a:extLst>
        </xdr:cNvPr>
        <xdr:cNvSpPr txBox="1"/>
      </xdr:nvSpPr>
      <xdr:spPr>
        <a:xfrm>
          <a:off x="4560358" y="784754"/>
          <a:ext cx="1440392" cy="1108318"/>
        </a:xfrm>
        <a:prstGeom prst="rect">
          <a:avLst/>
        </a:prstGeom>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Removing and storing carbon program IKEA</a:t>
          </a:r>
        </a:p>
      </xdr:txBody>
    </xdr:sp>
    <xdr:clientData/>
  </xdr:twoCellAnchor>
  <xdr:twoCellAnchor>
    <xdr:from>
      <xdr:col>2</xdr:col>
      <xdr:colOff>1926108</xdr:colOff>
      <xdr:row>7</xdr:row>
      <xdr:rowOff>21273</xdr:rowOff>
    </xdr:from>
    <xdr:to>
      <xdr:col>4</xdr:col>
      <xdr:colOff>44749</xdr:colOff>
      <xdr:row>10</xdr:row>
      <xdr:rowOff>143267</xdr:rowOff>
    </xdr:to>
    <xdr:sp macro="" textlink="">
      <xdr:nvSpPr>
        <xdr:cNvPr id="9" name="TextBox 8">
          <a:extLst>
            <a:ext uri="{FF2B5EF4-FFF2-40B4-BE49-F238E27FC236}">
              <a16:creationId xmlns:a16="http://schemas.microsoft.com/office/drawing/2014/main" id="{F511D127-7A28-484C-91C6-43FB90296BDE}"/>
            </a:ext>
          </a:extLst>
        </xdr:cNvPr>
        <xdr:cNvSpPr txBox="1"/>
      </xdr:nvSpPr>
      <xdr:spPr>
        <a:xfrm>
          <a:off x="2535708" y="4602798"/>
          <a:ext cx="1223791" cy="693494"/>
        </a:xfrm>
        <a:prstGeom prst="rect">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sv-SE" sz="1000">
              <a:latin typeface="Noto IKEA Latin" panose="020B0502040504020204" pitchFamily="34" charset="0"/>
            </a:rPr>
            <a:t>Local Wood supply and forestry resources supporting </a:t>
          </a:r>
        </a:p>
      </xdr:txBody>
    </xdr:sp>
    <xdr:clientData/>
  </xdr:twoCellAnchor>
  <xdr:twoCellAnchor>
    <xdr:from>
      <xdr:col>1</xdr:col>
      <xdr:colOff>56866</xdr:colOff>
      <xdr:row>5</xdr:row>
      <xdr:rowOff>474783</xdr:rowOff>
    </xdr:from>
    <xdr:to>
      <xdr:col>2</xdr:col>
      <xdr:colOff>1530554</xdr:colOff>
      <xdr:row>10</xdr:row>
      <xdr:rowOff>104254</xdr:rowOff>
    </xdr:to>
    <xdr:sp macro="" textlink="">
      <xdr:nvSpPr>
        <xdr:cNvPr id="60" name="TextBox 9">
          <a:extLst>
            <a:ext uri="{FF2B5EF4-FFF2-40B4-BE49-F238E27FC236}">
              <a16:creationId xmlns:a16="http://schemas.microsoft.com/office/drawing/2014/main" id="{E546CC65-898A-456A-8FCF-026808879283}"/>
            </a:ext>
          </a:extLst>
        </xdr:cNvPr>
        <xdr:cNvSpPr txBox="1"/>
      </xdr:nvSpPr>
      <xdr:spPr>
        <a:xfrm>
          <a:off x="663433" y="3166425"/>
          <a:ext cx="2080255" cy="1401784"/>
        </a:xfrm>
        <a:prstGeom prst="rect">
          <a:avLst/>
        </a:prstGeom>
        <a:gradFill flip="none" rotWithShape="1">
          <a:gsLst>
            <a:gs pos="0">
              <a:srgbClr val="0070C0"/>
            </a:gs>
            <a:gs pos="35000">
              <a:srgbClr val="0070C0"/>
            </a:gs>
            <a:gs pos="100000">
              <a:schemeClr val="accent6">
                <a:lumMod val="100000"/>
              </a:schemeClr>
            </a:gs>
          </a:gsLst>
          <a:path path="circle">
            <a:fillToRect l="50000" t="-80000" r="50000" b="180000"/>
          </a:path>
          <a:tileRect/>
        </a:gra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sv-SE" sz="1050">
              <a:latin typeface="Noto IKEA Latin" panose="020B0502040504020204" pitchFamily="34" charset="0"/>
            </a:rPr>
            <a:t>Removing and storing carbon through forests and trees project</a:t>
          </a:r>
          <a:r>
            <a:rPr lang="sv-SE" sz="1050" baseline="0">
              <a:latin typeface="Noto IKEA Latin" panose="020B0502040504020204" pitchFamily="34" charset="0"/>
            </a:rPr>
            <a:t> with WWF</a:t>
          </a:r>
        </a:p>
        <a:p>
          <a:pPr algn="ctr"/>
          <a:r>
            <a:rPr lang="sv-SE" sz="1050" baseline="0">
              <a:latin typeface="Noto IKEA Latin" panose="020B0502040504020204" pitchFamily="34" charset="0"/>
            </a:rPr>
            <a:t>Project manager</a:t>
          </a:r>
        </a:p>
        <a:p>
          <a:pPr algn="ctr"/>
          <a:r>
            <a:rPr lang="sv-SE" sz="1050" baseline="0">
              <a:latin typeface="Noto IKEA Latin" panose="020B0502040504020204" pitchFamily="34" charset="0"/>
            </a:rPr>
            <a:t>Dedicated project resources</a:t>
          </a:r>
          <a:endParaRPr lang="sv-SE" sz="1050">
            <a:latin typeface="Noto IKEA Latin" panose="020B0502040504020204" pitchFamily="34" charset="0"/>
          </a:endParaRPr>
        </a:p>
      </xdr:txBody>
    </xdr:sp>
    <xdr:clientData/>
  </xdr:twoCellAnchor>
  <xdr:twoCellAnchor>
    <xdr:from>
      <xdr:col>2</xdr:col>
      <xdr:colOff>489519</xdr:colOff>
      <xdr:row>4</xdr:row>
      <xdr:rowOff>454797</xdr:rowOff>
    </xdr:from>
    <xdr:to>
      <xdr:col>2</xdr:col>
      <xdr:colOff>490427</xdr:colOff>
      <xdr:row>5</xdr:row>
      <xdr:rowOff>474783</xdr:rowOff>
    </xdr:to>
    <xdr:cxnSp macro="">
      <xdr:nvCxnSpPr>
        <xdr:cNvPr id="11" name="Straight Arrow Connector 10">
          <a:extLst>
            <a:ext uri="{FF2B5EF4-FFF2-40B4-BE49-F238E27FC236}">
              <a16:creationId xmlns:a16="http://schemas.microsoft.com/office/drawing/2014/main" id="{9AF4ABA7-03B4-4BF3-BEA1-54BFF834FB70}"/>
            </a:ext>
          </a:extLst>
        </xdr:cNvPr>
        <xdr:cNvCxnSpPr>
          <a:stCxn id="47" idx="2"/>
          <a:endCxn id="60" idx="0"/>
        </xdr:cNvCxnSpPr>
      </xdr:nvCxnSpPr>
      <xdr:spPr>
        <a:xfrm>
          <a:off x="1702653" y="1829051"/>
          <a:ext cx="908" cy="1337374"/>
        </a:xfrm>
        <a:prstGeom prst="straightConnector1">
          <a:avLst/>
        </a:prstGeom>
        <a:ln w="381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1530554</xdr:colOff>
      <xdr:row>6</xdr:row>
      <xdr:rowOff>123660</xdr:rowOff>
    </xdr:from>
    <xdr:to>
      <xdr:col>2</xdr:col>
      <xdr:colOff>1926108</xdr:colOff>
      <xdr:row>8</xdr:row>
      <xdr:rowOff>172307</xdr:rowOff>
    </xdr:to>
    <xdr:cxnSp macro="">
      <xdr:nvCxnSpPr>
        <xdr:cNvPr id="12" name="Straight Arrow Connector 11">
          <a:extLst>
            <a:ext uri="{FF2B5EF4-FFF2-40B4-BE49-F238E27FC236}">
              <a16:creationId xmlns:a16="http://schemas.microsoft.com/office/drawing/2014/main" id="{AAA9B404-A202-4D18-9D43-A20938A5502D}"/>
            </a:ext>
          </a:extLst>
        </xdr:cNvPr>
        <xdr:cNvCxnSpPr>
          <a:stCxn id="60" idx="3"/>
          <a:endCxn id="9" idx="1"/>
        </xdr:cNvCxnSpPr>
      </xdr:nvCxnSpPr>
      <xdr:spPr>
        <a:xfrm>
          <a:off x="2743688" y="3867317"/>
          <a:ext cx="395554" cy="408796"/>
        </a:xfrm>
        <a:prstGeom prst="straightConnector1">
          <a:avLst/>
        </a:prstGeom>
        <a:ln w="381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1206500</xdr:colOff>
      <xdr:row>3</xdr:row>
      <xdr:rowOff>644651</xdr:rowOff>
    </xdr:from>
    <xdr:to>
      <xdr:col>5</xdr:col>
      <xdr:colOff>16933</xdr:colOff>
      <xdr:row>3</xdr:row>
      <xdr:rowOff>651265</xdr:rowOff>
    </xdr:to>
    <xdr:cxnSp macro="">
      <xdr:nvCxnSpPr>
        <xdr:cNvPr id="13" name="Straight Arrow Connector 12">
          <a:extLst>
            <a:ext uri="{FF2B5EF4-FFF2-40B4-BE49-F238E27FC236}">
              <a16:creationId xmlns:a16="http://schemas.microsoft.com/office/drawing/2014/main" id="{A4552A61-C2C0-492F-92F9-5396D844BD3B}"/>
            </a:ext>
          </a:extLst>
        </xdr:cNvPr>
        <xdr:cNvCxnSpPr>
          <a:stCxn id="47" idx="3"/>
          <a:endCxn id="25" idx="1"/>
        </xdr:cNvCxnSpPr>
      </xdr:nvCxnSpPr>
      <xdr:spPr>
        <a:xfrm>
          <a:off x="2419634" y="1279651"/>
          <a:ext cx="2961627" cy="6614"/>
        </a:xfrm>
        <a:prstGeom prst="straightConnector1">
          <a:avLst/>
        </a:prstGeom>
        <a:ln w="381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709655</xdr:colOff>
      <xdr:row>5</xdr:row>
      <xdr:rowOff>96708</xdr:rowOff>
    </xdr:from>
    <xdr:to>
      <xdr:col>5</xdr:col>
      <xdr:colOff>200111</xdr:colOff>
      <xdr:row>5</xdr:row>
      <xdr:rowOff>689490</xdr:rowOff>
    </xdr:to>
    <xdr:cxnSp macro="">
      <xdr:nvCxnSpPr>
        <xdr:cNvPr id="14" name="Connector: Elbow 13">
          <a:extLst>
            <a:ext uri="{FF2B5EF4-FFF2-40B4-BE49-F238E27FC236}">
              <a16:creationId xmlns:a16="http://schemas.microsoft.com/office/drawing/2014/main" id="{E6E368D7-4013-4144-BD5F-75F9A028FBCB}"/>
            </a:ext>
          </a:extLst>
        </xdr:cNvPr>
        <xdr:cNvCxnSpPr>
          <a:stCxn id="6" idx="3"/>
          <a:endCxn id="5" idx="1"/>
        </xdr:cNvCxnSpPr>
      </xdr:nvCxnSpPr>
      <xdr:spPr>
        <a:xfrm flipV="1">
          <a:off x="4424405" y="2858958"/>
          <a:ext cx="319131" cy="592782"/>
        </a:xfrm>
        <a:prstGeom prst="bentConnector3">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709655</xdr:colOff>
      <xdr:row>5</xdr:row>
      <xdr:rowOff>689490</xdr:rowOff>
    </xdr:from>
    <xdr:to>
      <xdr:col>5</xdr:col>
      <xdr:colOff>200111</xdr:colOff>
      <xdr:row>6</xdr:row>
      <xdr:rowOff>365307</xdr:rowOff>
    </xdr:to>
    <xdr:cxnSp macro="">
      <xdr:nvCxnSpPr>
        <xdr:cNvPr id="15" name="Connector: Elbow 14">
          <a:extLst>
            <a:ext uri="{FF2B5EF4-FFF2-40B4-BE49-F238E27FC236}">
              <a16:creationId xmlns:a16="http://schemas.microsoft.com/office/drawing/2014/main" id="{1584740C-E0CE-4C45-B4CA-6BF51DF38E44}"/>
            </a:ext>
          </a:extLst>
        </xdr:cNvPr>
        <xdr:cNvCxnSpPr>
          <a:stCxn id="6" idx="3"/>
          <a:endCxn id="4" idx="1"/>
        </xdr:cNvCxnSpPr>
      </xdr:nvCxnSpPr>
      <xdr:spPr>
        <a:xfrm>
          <a:off x="4424405" y="3451740"/>
          <a:ext cx="319131" cy="733092"/>
        </a:xfrm>
        <a:prstGeom prst="bentConnector3">
          <a:avLst>
            <a:gd name="adj1" fmla="val 50000"/>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1206500</xdr:colOff>
      <xdr:row>3</xdr:row>
      <xdr:rowOff>644651</xdr:rowOff>
    </xdr:from>
    <xdr:to>
      <xdr:col>3</xdr:col>
      <xdr:colOff>259382</xdr:colOff>
      <xdr:row>4</xdr:row>
      <xdr:rowOff>700732</xdr:rowOff>
    </xdr:to>
    <xdr:cxnSp macro="">
      <xdr:nvCxnSpPr>
        <xdr:cNvPr id="16" name="Connector: Elbow 15">
          <a:extLst>
            <a:ext uri="{FF2B5EF4-FFF2-40B4-BE49-F238E27FC236}">
              <a16:creationId xmlns:a16="http://schemas.microsoft.com/office/drawing/2014/main" id="{65D4FD6B-87A3-41B2-9F85-E564FDBBFA5C}"/>
            </a:ext>
          </a:extLst>
        </xdr:cNvPr>
        <xdr:cNvCxnSpPr>
          <a:stCxn id="47" idx="3"/>
          <a:endCxn id="61" idx="0"/>
        </xdr:cNvCxnSpPr>
      </xdr:nvCxnSpPr>
      <xdr:spPr>
        <a:xfrm>
          <a:off x="2419634" y="1279651"/>
          <a:ext cx="1460196" cy="795335"/>
        </a:xfrm>
        <a:prstGeom prst="bentConnector2">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889753</xdr:colOff>
      <xdr:row>4</xdr:row>
      <xdr:rowOff>1260744</xdr:rowOff>
    </xdr:from>
    <xdr:to>
      <xdr:col>2</xdr:col>
      <xdr:colOff>1735094</xdr:colOff>
      <xdr:row>5</xdr:row>
      <xdr:rowOff>466061</xdr:rowOff>
    </xdr:to>
    <xdr:cxnSp macro="">
      <xdr:nvCxnSpPr>
        <xdr:cNvPr id="17" name="Connector: Elbow 16">
          <a:extLst>
            <a:ext uri="{FF2B5EF4-FFF2-40B4-BE49-F238E27FC236}">
              <a16:creationId xmlns:a16="http://schemas.microsoft.com/office/drawing/2014/main" id="{B865C6DC-95BC-4BD6-A477-62107EE36F93}"/>
            </a:ext>
          </a:extLst>
        </xdr:cNvPr>
        <xdr:cNvCxnSpPr>
          <a:endCxn id="61" idx="1"/>
        </xdr:cNvCxnSpPr>
      </xdr:nvCxnSpPr>
      <xdr:spPr>
        <a:xfrm flipV="1">
          <a:off x="2102887" y="2634998"/>
          <a:ext cx="845341" cy="522705"/>
        </a:xfrm>
        <a:prstGeom prst="bentConnector3">
          <a:avLst>
            <a:gd name="adj1" fmla="val 50000"/>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1424458</xdr:colOff>
      <xdr:row>3</xdr:row>
      <xdr:rowOff>28434</xdr:rowOff>
    </xdr:from>
    <xdr:to>
      <xdr:col>4</xdr:col>
      <xdr:colOff>592094</xdr:colOff>
      <xdr:row>3</xdr:row>
      <xdr:rowOff>523446</xdr:rowOff>
    </xdr:to>
    <xdr:sp macro="" textlink="">
      <xdr:nvSpPr>
        <xdr:cNvPr id="18" name="TextBox 17">
          <a:extLst>
            <a:ext uri="{FF2B5EF4-FFF2-40B4-BE49-F238E27FC236}">
              <a16:creationId xmlns:a16="http://schemas.microsoft.com/office/drawing/2014/main" id="{318AC914-EE35-436C-9B0C-180515D680B0}"/>
            </a:ext>
          </a:extLst>
        </xdr:cNvPr>
        <xdr:cNvSpPr txBox="1"/>
      </xdr:nvSpPr>
      <xdr:spPr>
        <a:xfrm>
          <a:off x="2637592" y="663434"/>
          <a:ext cx="2446890" cy="495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050">
              <a:latin typeface="Noto IKEA Latin" panose="020B0502040504020204" pitchFamily="34" charset="0"/>
            </a:rPr>
            <a:t>Agreement between parties</a:t>
          </a:r>
          <a:r>
            <a:rPr lang="sv-SE" sz="1050" baseline="0">
              <a:latin typeface="Noto IKEA Latin" panose="020B0502040504020204" pitchFamily="34" charset="0"/>
            </a:rPr>
            <a:t> about implementation of the project</a:t>
          </a:r>
          <a:endParaRPr lang="sv-SE" sz="1050">
            <a:latin typeface="Noto IKEA Latin" panose="020B0502040504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Erika Alm" id="{A8EEBE7C-ABCB-48B5-AA34-19BEB504BDB3}" userId="S::erika.alm@inter.ikea.com::6d816781-33c1-4401-938c-f5d87f73d0d0" providerId="AD"/>
  <person displayName="Ting Xie" id="{63F20E50-12D8-425B-B78E-561D89A5238D}" userId="S::ting.xie1@inter.ikea.com::34b5787c-1254-4850-92a6-6abf0b7f3dcf" providerId="AD"/>
  <person displayName="Christoph Leibing" id="{6EDE7DFD-98DD-4509-B09B-D11AF0D73F4D}" userId="S::christoph.leibing@inter.ikea.com::7b978943-48b8-4e8d-890c-c7f9e51d022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4D661F-3B40-4477-949A-24F23AC0D345}" name="Table1" displayName="Table1" ref="A1:E9" totalsRowShown="0" headerRowDxfId="9" dataDxfId="7" headerRowBorderDxfId="8" tableBorderDxfId="6" totalsRowBorderDxfId="5">
  <autoFilter ref="A1:E9" xr:uid="{3E4D661F-3B40-4477-949A-24F23AC0D345}"/>
  <tableColumns count="5">
    <tableColumn id="1" xr3:uid="{C87C4298-3637-4E4A-85EB-505B7594E465}" name="Project activity" dataDxfId="4"/>
    <tableColumn id="2" xr3:uid="{3059C1EE-ADA4-4915-B111-8357BDD3F626}" name="Deliverable" dataDxfId="3"/>
    <tableColumn id="3" xr3:uid="{D5B504CF-673A-4E73-A93D-1C558A923302}" name="Key result" dataDxfId="2"/>
    <tableColumn id="4" xr3:uid="{AB8DA262-904F-4BFA-9D97-CEEC88B3822D}" name="Responsible organisation" dataDxfId="1"/>
    <tableColumn id="5" xr3:uid="{D6CE1376-78EE-4A2C-B690-AC147C1FC0E2}" name="Deadlin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5-04-16T06:54:01.58" personId="{6EDE7DFD-98DD-4509-B09B-D11AF0D73F4D}" id="{110F7FF1-A9F6-4060-B771-D2CBCF75EC55}" done="1">
    <text>It is likely that ISAG finance / legal advises us to sign the contract in local currency.</text>
  </threadedComment>
  <threadedComment ref="A3" dT="2025-04-16T16:39:19.43" personId="{63F20E50-12D8-425B-B78E-561D89A5238D}" id="{E20EBE42-7129-45CE-8DDB-6A4E535B0CBC}" done="1">
    <text>Allocate certain cost from activity 1.4 (150,000) for the MEL design?</text>
  </threadedComment>
  <threadedComment ref="D3" dT="2025-04-25T07:18:15.68" personId="{63F20E50-12D8-425B-B78E-561D89A5238D}" id="{47FEB738-DA34-4EC8-A8F3-0D56B0292FA8}" done="1">
    <text>temporarily allocated 50000 budget of activity 1.4 to the activity 1.1, which will be updated after receiving final confirm from CAF side.</text>
  </threadedComment>
  <threadedComment ref="A4" dT="2025-04-16T06:51:08.44" personId="{6EDE7DFD-98DD-4509-B09B-D11AF0D73F4D}" id="{071F623E-445D-44F6-9E9A-624CB42C3785}" done="1">
    <text>Worhthwhile to conduct baselie survey also at control site? What are those control sites?</text>
  </threadedComment>
  <threadedComment ref="F5" dT="2025-04-16T16:36:47.49" personId="{63F20E50-12D8-425B-B78E-561D89A5238D}" id="{33D57D9A-9938-4077-9192-ADC60EB3A3B2}" done="1">
    <text xml:space="preserve">As suggested by CAF, IKEA pay all the research fee so lower tax and lower total project cost
As an instead, IKEA decrease the share of implementation cost to 35%, and Huahai pay for 65% </text>
  </threadedComment>
  <threadedComment ref="D6" dT="2025-04-25T07:18:11.37" personId="{63F20E50-12D8-425B-B78E-561D89A5238D}" id="{2FF32874-56E9-40D1-973A-4CD32540005D}" done="1">
    <text>temporarily allocated 50000 budget of activity 1.4 to the activity 1.1, which will be updated after receiving final confirm from CAF side.</text>
  </threadedComment>
  <threadedComment ref="F10" dT="2025-04-16T16:36:31.90" personId="{63F20E50-12D8-425B-B78E-561D89A5238D}" id="{F178DAF6-2FCF-49FC-9CFC-5C6B90481BD8}" done="1">
    <text xml:space="preserve">As suggested by CAF, IKEA pay all the research fee so no lower tax and lower total project cost
As an instead, IKEA decrease the share of implementation cost to 35%, and Huahai pay for 65% </text>
  </threadedComment>
  <threadedComment ref="A14" dT="2025-04-16T06:49:52.33" personId="{6EDE7DFD-98DD-4509-B09B-D11AF0D73F4D}" id="{ECB0ABC6-104B-4E89-ACD2-972ECD08B0DD}" done="1">
    <text>What is „carbon layer division“?</text>
  </threadedComment>
  <threadedComment ref="E15" dT="2025-04-08T08:27:18.30" personId="{63F20E50-12D8-425B-B78E-561D89A5238D}" id="{70D062DB-281C-4F5D-B4A1-1BEB12818BA5}" done="1">
    <text xml:space="preserve">Need to check with Huahai why the plot amounts of 3.1 &amp; 3.2 are different </text>
  </threadedComment>
  <threadedComment ref="E15" dT="2025-04-16T16:38:24.81" personId="{63F20E50-12D8-425B-B78E-561D89A5238D}" id="{959B1BF9-6D6C-448C-B83B-3338AE00991E}" parentId="{70D062DB-281C-4F5D-B4A1-1BEB12818BA5}">
    <text>As discussed with CAF, the plot number in activity 3.1 and 3.2 shall be the same
while need Prof He to further suggest the suitable plot amount to add in the table
28 or 36?</text>
  </threadedComment>
  <threadedComment ref="A16" dT="2025-04-16T06:51:46.24" personId="{6EDE7DFD-98DD-4509-B09B-D11AF0D73F4D}" id="{79B574DE-85EE-410B-A79C-5E7F4425D962}" done="1">
    <text>Establish the report?</text>
  </threadedComment>
  <threadedComment ref="F24" dT="2025-03-31T12:25:57.97" personId="{A8EEBE7C-ABCB-48B5-AA34-19BEB504BDB3}" id="{FD549F8C-74B4-4BF1-9DDD-07109EBC99BD}" done="1">
    <text>Need to make additional cuts to get to 182 000 Euro, Huahai ok with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2-05T19:05:57.86" personId="{63F20E50-12D8-425B-B78E-561D89A5238D}" id="{78CCB534-A646-41FC-B13C-8EBCF03FC7DE}">
    <text>Make more sense to call it “Project activity”?</text>
  </threadedComment>
  <threadedComment ref="C1" dT="2025-02-05T19:06:32.40" personId="{63F20E50-12D8-425B-B78E-561D89A5238D}" id="{D8D20DF1-3755-440C-8D13-59973E89A479}">
    <text>What is the difference between the ”Deliverable” and ”key result”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oogle.com/finance/quote/CNY-EUR?window=6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x:/r/sites/RiskAssessment_RSCProject-CNWorkingGroup/Shared%20Documents/CN%20Working%20Group/External%20Risk%20assessment%20workshop/20250314_RSC%20Project%20Risk%20Log%20Register_External_Final.xlsx%3fd=wf573e73d87cc4bcbad2a5aa69257cd5d&amp;csf=1&amp;web=1&amp;e=JdfU3d"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1E49-C33E-4AB5-97F5-18730F226723}">
  <dimension ref="A1:O26"/>
  <sheetViews>
    <sheetView showGridLines="0" zoomScale="93" zoomScaleNormal="60" workbookViewId="0">
      <pane xSplit="3" ySplit="2" topLeftCell="D3" activePane="bottomRight" state="frozen"/>
      <selection pane="topRight" activeCell="D1" sqref="D1"/>
      <selection pane="bottomLeft" activeCell="A3" sqref="A3"/>
      <selection pane="bottomRight" activeCell="B14" sqref="B14"/>
    </sheetView>
  </sheetViews>
  <sheetFormatPr defaultColWidth="8.81640625" defaultRowHeight="14"/>
  <cols>
    <col min="1" max="1" width="70.54296875" style="28" customWidth="1"/>
    <col min="2" max="2" width="17.81640625" style="43" customWidth="1"/>
    <col min="3" max="4" width="14.453125" style="44" customWidth="1"/>
    <col min="5" max="5" width="20.1796875" style="44" bestFit="1" customWidth="1"/>
    <col min="6" max="6" width="17.54296875" style="44" customWidth="1"/>
    <col min="7" max="7" width="20.54296875" style="44" customWidth="1"/>
    <col min="8" max="8" width="8.81640625" style="26"/>
    <col min="9" max="9" width="15.453125" style="26" customWidth="1"/>
    <col min="10" max="10" width="10.1796875" style="26" customWidth="1"/>
    <col min="11" max="11" width="12.81640625" style="26" bestFit="1" customWidth="1"/>
    <col min="12" max="12" width="9.453125" style="26" bestFit="1" customWidth="1"/>
    <col min="13" max="14" width="8.81640625" style="26"/>
    <col min="15" max="15" width="9.81640625" style="26" bestFit="1" customWidth="1"/>
    <col min="16" max="16384" width="8.81640625" style="26"/>
  </cols>
  <sheetData>
    <row r="1" spans="1:15" s="45" customFormat="1" ht="53.5" customHeight="1">
      <c r="A1" s="24" t="s">
        <v>0</v>
      </c>
      <c r="B1" s="25" t="s">
        <v>1</v>
      </c>
      <c r="C1" s="25" t="s">
        <v>2</v>
      </c>
      <c r="D1" s="25" t="s">
        <v>3</v>
      </c>
      <c r="E1" s="25" t="s">
        <v>4</v>
      </c>
      <c r="F1" s="25" t="s">
        <v>5</v>
      </c>
      <c r="G1" s="25" t="s">
        <v>6</v>
      </c>
      <c r="I1" s="49" t="s">
        <v>7</v>
      </c>
      <c r="J1" s="68">
        <v>0.125</v>
      </c>
      <c r="K1" s="50" t="s">
        <v>8</v>
      </c>
    </row>
    <row r="2" spans="1:15" ht="31" customHeight="1" thickBot="1">
      <c r="A2" s="32" t="s">
        <v>9</v>
      </c>
      <c r="B2" s="33"/>
      <c r="C2" s="34"/>
      <c r="D2" s="34"/>
      <c r="E2" s="34"/>
      <c r="F2" s="34"/>
      <c r="G2" s="34"/>
      <c r="I2" s="46" t="s">
        <v>10</v>
      </c>
      <c r="K2" s="30" t="s">
        <v>11</v>
      </c>
    </row>
    <row r="3" spans="1:15" ht="35.25" customHeight="1">
      <c r="A3" s="74" t="s">
        <v>12</v>
      </c>
      <c r="B3" s="55" t="s">
        <v>13</v>
      </c>
      <c r="C3" s="56" t="s">
        <v>14</v>
      </c>
      <c r="D3" s="60">
        <v>6000</v>
      </c>
      <c r="E3" s="35">
        <v>1</v>
      </c>
      <c r="F3" s="75">
        <f>D3</f>
        <v>6000</v>
      </c>
      <c r="G3" s="35" t="s">
        <v>15</v>
      </c>
      <c r="I3" s="80">
        <v>50000</v>
      </c>
      <c r="K3" s="81"/>
    </row>
    <row r="4" spans="1:15" ht="31" customHeight="1">
      <c r="A4" s="74" t="s">
        <v>16</v>
      </c>
      <c r="B4" s="55" t="s">
        <v>13</v>
      </c>
      <c r="C4" s="56" t="s">
        <v>17</v>
      </c>
      <c r="D4" s="57">
        <v>2500</v>
      </c>
      <c r="E4" s="35">
        <v>12</v>
      </c>
      <c r="F4" s="52">
        <f t="shared" ref="F4:F21" si="0">D4*E4</f>
        <v>30000</v>
      </c>
      <c r="G4" s="35"/>
      <c r="I4" s="47">
        <f>D4*E4</f>
        <v>30000</v>
      </c>
      <c r="K4" s="48"/>
    </row>
    <row r="5" spans="1:15" ht="31" customHeight="1">
      <c r="A5" s="58" t="s">
        <v>18</v>
      </c>
      <c r="B5" s="59" t="s">
        <v>13</v>
      </c>
      <c r="C5" s="57" t="s">
        <v>19</v>
      </c>
      <c r="D5" s="60">
        <f>12*15</f>
        <v>180</v>
      </c>
      <c r="E5" s="36">
        <v>511.2</v>
      </c>
      <c r="F5" s="52">
        <f>D5*E5</f>
        <v>92016</v>
      </c>
      <c r="G5" s="35" t="s">
        <v>15</v>
      </c>
      <c r="I5" s="47">
        <f>D5*E5</f>
        <v>92016</v>
      </c>
      <c r="K5" s="53">
        <f>F5*0.5</f>
        <v>46008</v>
      </c>
    </row>
    <row r="6" spans="1:15" ht="31" customHeight="1" thickBot="1">
      <c r="A6" s="58" t="s">
        <v>20</v>
      </c>
      <c r="B6" s="59" t="s">
        <v>13</v>
      </c>
      <c r="C6" s="60" t="s">
        <v>14</v>
      </c>
      <c r="D6" s="60">
        <v>144000</v>
      </c>
      <c r="E6" s="36">
        <v>1</v>
      </c>
      <c r="F6" s="52">
        <f t="shared" si="0"/>
        <v>144000</v>
      </c>
      <c r="G6" s="35" t="s">
        <v>15</v>
      </c>
      <c r="I6" s="82">
        <f>D6*E6</f>
        <v>144000</v>
      </c>
      <c r="K6" s="54">
        <f>F6*0.5</f>
        <v>72000</v>
      </c>
    </row>
    <row r="7" spans="1:15" ht="31" customHeight="1">
      <c r="A7" s="58" t="s">
        <v>21</v>
      </c>
      <c r="B7" s="59" t="s">
        <v>13</v>
      </c>
      <c r="C7" s="57" t="s">
        <v>22</v>
      </c>
      <c r="D7" s="60">
        <v>20000</v>
      </c>
      <c r="E7" s="36">
        <v>2</v>
      </c>
      <c r="F7" s="52">
        <f t="shared" si="0"/>
        <v>40000</v>
      </c>
      <c r="G7" s="35" t="s">
        <v>15</v>
      </c>
      <c r="I7" s="47">
        <f>D7*E7</f>
        <v>40000</v>
      </c>
      <c r="K7" s="76">
        <f>SUM(K3:K6)</f>
        <v>118008</v>
      </c>
    </row>
    <row r="8" spans="1:15" ht="31" customHeight="1">
      <c r="A8" s="58" t="s">
        <v>23</v>
      </c>
      <c r="B8" s="59" t="s">
        <v>13</v>
      </c>
      <c r="C8" s="57" t="s">
        <v>22</v>
      </c>
      <c r="D8" s="57">
        <v>12234</v>
      </c>
      <c r="E8" s="36">
        <v>2</v>
      </c>
      <c r="F8" s="52">
        <f t="shared" si="0"/>
        <v>24468</v>
      </c>
      <c r="G8" s="36" t="s">
        <v>15</v>
      </c>
      <c r="I8" s="47">
        <f>D8*E8</f>
        <v>24468</v>
      </c>
    </row>
    <row r="9" spans="1:15" ht="31" customHeight="1" thickBot="1">
      <c r="A9" s="37" t="s">
        <v>24</v>
      </c>
      <c r="B9" s="33"/>
      <c r="C9" s="34"/>
      <c r="D9" s="34"/>
      <c r="E9" s="34"/>
      <c r="F9" s="34"/>
      <c r="G9" s="38"/>
      <c r="I9" s="48"/>
      <c r="K9" s="30" t="s">
        <v>25</v>
      </c>
      <c r="O9" s="66"/>
    </row>
    <row r="10" spans="1:15" ht="31" customHeight="1">
      <c r="A10" s="58" t="s">
        <v>26</v>
      </c>
      <c r="B10" s="27" t="s">
        <v>27</v>
      </c>
      <c r="C10" s="57" t="s">
        <v>19</v>
      </c>
      <c r="D10" s="57">
        <f>272.3*15</f>
        <v>4084.5</v>
      </c>
      <c r="E10" s="36">
        <v>73.433333333333337</v>
      </c>
      <c r="F10" s="72">
        <f>D10*E10*0.35</f>
        <v>104978.4575</v>
      </c>
      <c r="G10" s="73">
        <f>D10*E10*0.65</f>
        <v>194959.99250000002</v>
      </c>
      <c r="I10" s="48"/>
      <c r="K10" s="69">
        <f>D10*E10</f>
        <v>299938.45</v>
      </c>
    </row>
    <row r="11" spans="1:15" ht="31" customHeight="1">
      <c r="A11" s="58" t="s">
        <v>28</v>
      </c>
      <c r="B11" s="27" t="s">
        <v>27</v>
      </c>
      <c r="C11" s="60" t="s">
        <v>19</v>
      </c>
      <c r="D11" s="57">
        <f>175.4*15</f>
        <v>2631</v>
      </c>
      <c r="E11" s="36">
        <v>143.06666666666666</v>
      </c>
      <c r="F11" s="72">
        <f t="shared" ref="F11:F12" si="1">D11*E11*0.35</f>
        <v>131742.93999999997</v>
      </c>
      <c r="G11" s="73">
        <f t="shared" ref="G11:G12" si="2">D11*E11*0.65</f>
        <v>244665.46</v>
      </c>
      <c r="I11" s="48"/>
      <c r="K11" s="70">
        <f t="shared" ref="K11" si="3">D11*E11</f>
        <v>376408.39999999997</v>
      </c>
    </row>
    <row r="12" spans="1:15" ht="31" customHeight="1" thickBot="1">
      <c r="A12" s="58" t="s">
        <v>29</v>
      </c>
      <c r="B12" s="27" t="s">
        <v>27</v>
      </c>
      <c r="C12" s="57" t="s">
        <v>19</v>
      </c>
      <c r="D12" s="57">
        <f>347.6*15</f>
        <v>5214</v>
      </c>
      <c r="E12" s="36">
        <f>294.7</f>
        <v>294.7</v>
      </c>
      <c r="F12" s="72">
        <f t="shared" si="1"/>
        <v>537798.03</v>
      </c>
      <c r="G12" s="73">
        <f t="shared" si="2"/>
        <v>998767.77</v>
      </c>
      <c r="I12" s="48"/>
      <c r="K12" s="71">
        <f>D12*E12</f>
        <v>1536565.8</v>
      </c>
    </row>
    <row r="13" spans="1:15" ht="31" customHeight="1">
      <c r="A13" s="32" t="s">
        <v>30</v>
      </c>
      <c r="B13" s="33"/>
      <c r="C13" s="34"/>
      <c r="D13" s="34"/>
      <c r="E13" s="34"/>
      <c r="F13" s="34"/>
      <c r="G13" s="38"/>
      <c r="I13" s="48"/>
      <c r="K13" s="67">
        <f>SUM(K10:K12)</f>
        <v>2212912.65</v>
      </c>
      <c r="L13" s="77">
        <f>K7/K13</f>
        <v>5.3327003214519109E-2</v>
      </c>
    </row>
    <row r="14" spans="1:15" ht="31" customHeight="1">
      <c r="A14" s="58" t="s">
        <v>31</v>
      </c>
      <c r="B14" s="59" t="s">
        <v>13</v>
      </c>
      <c r="C14" s="57" t="s">
        <v>17</v>
      </c>
      <c r="D14" s="57">
        <v>450</v>
      </c>
      <c r="E14" s="36">
        <v>12</v>
      </c>
      <c r="F14" s="85">
        <f t="shared" si="0"/>
        <v>5400</v>
      </c>
      <c r="G14" s="36" t="s">
        <v>15</v>
      </c>
      <c r="I14" s="47">
        <f>D14*E14</f>
        <v>5400</v>
      </c>
    </row>
    <row r="15" spans="1:15" ht="40" customHeight="1">
      <c r="A15" s="58" t="s">
        <v>32</v>
      </c>
      <c r="B15" s="59" t="s">
        <v>13</v>
      </c>
      <c r="C15" s="57" t="s">
        <v>17</v>
      </c>
      <c r="D15" s="57">
        <v>2916.67</v>
      </c>
      <c r="E15" s="36">
        <v>24</v>
      </c>
      <c r="F15" s="85">
        <f t="shared" si="0"/>
        <v>70000.08</v>
      </c>
      <c r="G15" s="36" t="s">
        <v>15</v>
      </c>
      <c r="I15" s="47">
        <f>D15*E15</f>
        <v>70000.08</v>
      </c>
    </row>
    <row r="16" spans="1:15" ht="39.65" customHeight="1">
      <c r="A16" s="58" t="s">
        <v>33</v>
      </c>
      <c r="B16" s="59" t="s">
        <v>13</v>
      </c>
      <c r="C16" s="57" t="s">
        <v>34</v>
      </c>
      <c r="D16" s="57">
        <v>74600</v>
      </c>
      <c r="E16" s="36">
        <v>1</v>
      </c>
      <c r="F16" s="85">
        <f t="shared" si="0"/>
        <v>74600</v>
      </c>
      <c r="G16" s="36" t="s">
        <v>15</v>
      </c>
      <c r="I16" s="47">
        <f>D16*E16</f>
        <v>74600</v>
      </c>
    </row>
    <row r="17" spans="1:9" ht="31" customHeight="1">
      <c r="A17" s="37" t="s">
        <v>35</v>
      </c>
      <c r="B17" s="33"/>
      <c r="C17" s="34"/>
      <c r="D17" s="34"/>
      <c r="E17" s="34"/>
      <c r="F17" s="34"/>
      <c r="G17" s="38"/>
      <c r="I17" s="47">
        <f>D17*E17</f>
        <v>0</v>
      </c>
    </row>
    <row r="18" spans="1:9" ht="31" customHeight="1">
      <c r="A18" s="58" t="s">
        <v>36</v>
      </c>
      <c r="B18" s="27" t="s">
        <v>27</v>
      </c>
      <c r="C18" s="57" t="s">
        <v>37</v>
      </c>
      <c r="D18" s="57">
        <v>3000</v>
      </c>
      <c r="E18" s="36">
        <v>3</v>
      </c>
      <c r="F18" s="85">
        <f t="shared" si="0"/>
        <v>9000</v>
      </c>
      <c r="G18" s="36" t="s">
        <v>15</v>
      </c>
      <c r="I18" s="47"/>
    </row>
    <row r="19" spans="1:9" ht="31" customHeight="1">
      <c r="A19" s="61" t="s">
        <v>38</v>
      </c>
      <c r="B19" s="62" t="s">
        <v>13</v>
      </c>
      <c r="C19" s="63" t="s">
        <v>37</v>
      </c>
      <c r="D19" s="57">
        <v>40</v>
      </c>
      <c r="E19" s="36">
        <v>300</v>
      </c>
      <c r="F19" s="85">
        <f t="shared" si="0"/>
        <v>12000</v>
      </c>
      <c r="G19" s="36" t="s">
        <v>15</v>
      </c>
      <c r="I19" s="47">
        <f>D19*E19</f>
        <v>12000</v>
      </c>
    </row>
    <row r="20" spans="1:9" ht="31" customHeight="1">
      <c r="A20" s="58" t="s">
        <v>39</v>
      </c>
      <c r="B20" s="59" t="s">
        <v>13</v>
      </c>
      <c r="C20" s="62" t="s">
        <v>37</v>
      </c>
      <c r="D20" s="57">
        <v>15000</v>
      </c>
      <c r="E20" s="36">
        <v>1</v>
      </c>
      <c r="F20" s="85">
        <f t="shared" si="0"/>
        <v>15000</v>
      </c>
      <c r="G20" s="36" t="s">
        <v>15</v>
      </c>
      <c r="I20" s="47">
        <f>D20*E20</f>
        <v>15000</v>
      </c>
    </row>
    <row r="21" spans="1:9" ht="31" customHeight="1" thickBot="1">
      <c r="A21" s="58" t="s">
        <v>40</v>
      </c>
      <c r="B21" s="59" t="s">
        <v>13</v>
      </c>
      <c r="C21" s="57" t="s">
        <v>22</v>
      </c>
      <c r="D21" s="57">
        <v>20000</v>
      </c>
      <c r="E21" s="36">
        <v>2</v>
      </c>
      <c r="F21" s="85">
        <f t="shared" si="0"/>
        <v>40000</v>
      </c>
      <c r="G21" s="36" t="s">
        <v>15</v>
      </c>
      <c r="I21" s="51">
        <f>D21*E21</f>
        <v>40000</v>
      </c>
    </row>
    <row r="22" spans="1:9" ht="31" customHeight="1" thickBot="1">
      <c r="A22" s="32" t="s">
        <v>41</v>
      </c>
      <c r="B22" s="33"/>
      <c r="C22" s="34"/>
      <c r="D22" s="34"/>
      <c r="E22" s="34"/>
      <c r="F22" s="34"/>
      <c r="G22" s="38"/>
      <c r="I22" s="79">
        <f>SUM(I4:I21)</f>
        <v>547484.08000000007</v>
      </c>
    </row>
    <row r="23" spans="1:9" ht="65.150000000000006" customHeight="1">
      <c r="A23" s="78" t="s">
        <v>42</v>
      </c>
      <c r="B23" s="27" t="s">
        <v>27</v>
      </c>
      <c r="C23" s="60" t="s">
        <v>43</v>
      </c>
      <c r="D23" s="60">
        <v>2500</v>
      </c>
      <c r="E23" s="36">
        <v>24</v>
      </c>
      <c r="F23" s="72">
        <f>D23*E23</f>
        <v>60000</v>
      </c>
      <c r="G23" s="36" t="s">
        <v>15</v>
      </c>
    </row>
    <row r="24" spans="1:9" ht="31" customHeight="1" thickBot="1">
      <c r="A24" s="39" t="s">
        <v>44</v>
      </c>
      <c r="B24" s="40"/>
      <c r="C24" s="41"/>
      <c r="D24" s="41"/>
      <c r="E24" s="42" t="s">
        <v>45</v>
      </c>
      <c r="F24" s="65">
        <f>SUM(F3:F23)</f>
        <v>1397003.5075000001</v>
      </c>
      <c r="G24" s="65">
        <f>SUM(G5:G23)</f>
        <v>1438393.2225000001</v>
      </c>
      <c r="I24" s="29">
        <f>SUM(F24:G24)</f>
        <v>2835396.7300000004</v>
      </c>
    </row>
    <row r="25" spans="1:9" ht="31" customHeight="1">
      <c r="E25" s="44" t="s">
        <v>46</v>
      </c>
      <c r="F25" s="64">
        <f>F24*J1</f>
        <v>174625.43843750001</v>
      </c>
      <c r="G25" s="64">
        <f>G24*J1</f>
        <v>179799.15281250002</v>
      </c>
    </row>
    <row r="26" spans="1:9" ht="31" customHeight="1">
      <c r="F26" s="31">
        <f>F24/$I$24</f>
        <v>0.49270124801900289</v>
      </c>
      <c r="G26" s="31">
        <f>G24/$I$24</f>
        <v>0.50729875198099705</v>
      </c>
    </row>
  </sheetData>
  <conditionalFormatting sqref="F4:G23">
    <cfRule type="dataBar" priority="1">
      <dataBar>
        <cfvo type="min"/>
        <cfvo type="max"/>
        <color rgb="FFFFB628"/>
      </dataBar>
      <extLst>
        <ext xmlns:x14="http://schemas.microsoft.com/office/spreadsheetml/2009/9/main" uri="{B025F937-C7B1-47D3-B67F-A62EFF666E3E}">
          <x14:id>{655D715B-2805-4A3B-A624-37D578A3F2B9}</x14:id>
        </ext>
      </extLst>
    </cfRule>
  </conditionalFormatting>
  <hyperlinks>
    <hyperlink ref="K1" r:id="rId1" display="https://www.google.com/finance/quote/CNY-EUR?window=6M" xr:uid="{B909E8B9-393A-49FE-81A3-639389247A6F}"/>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655D715B-2805-4A3B-A624-37D578A3F2B9}">
            <x14:dataBar minLength="0" maxLength="100" border="1" negativeBarBorderColorSameAsPositive="0">
              <x14:cfvo type="autoMin"/>
              <x14:cfvo type="autoMax"/>
              <x14:borderColor rgb="FFFFB628"/>
              <x14:negativeFillColor rgb="FFFF0000"/>
              <x14:negativeBorderColor rgb="FFFF0000"/>
              <x14:axisColor rgb="FF000000"/>
            </x14:dataBar>
          </x14:cfRule>
          <xm:sqref>F4:G23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ADEE-D65B-4100-9076-3179A1443A14}">
  <sheetPr>
    <tabColor rgb="FFFF0000"/>
  </sheetPr>
  <dimension ref="B1:R79"/>
  <sheetViews>
    <sheetView showGridLines="0" tabSelected="1" zoomScale="67" zoomScaleNormal="90" zoomScaleSheetLayoutView="40" workbookViewId="0">
      <pane xSplit="4" ySplit="3" topLeftCell="E4" activePane="bottomRight" state="frozen"/>
      <selection pane="topRight" activeCell="E1" sqref="E1"/>
      <selection pane="bottomLeft" activeCell="A4" sqref="A4"/>
      <selection pane="bottomRight" activeCell="G80" sqref="G80"/>
    </sheetView>
  </sheetViews>
  <sheetFormatPr defaultColWidth="9.08984375" defaultRowHeight="14.5"/>
  <cols>
    <col min="1" max="1" width="2.1796875" style="89" customWidth="1"/>
    <col min="2" max="2" width="7.1796875" style="134" customWidth="1"/>
    <col min="3" max="3" width="32" style="382" customWidth="1"/>
    <col min="4" max="4" width="60.6328125" style="89" customWidth="1"/>
    <col min="5" max="5" width="14.453125" style="173" customWidth="1"/>
    <col min="6" max="6" width="9.453125" style="173" customWidth="1"/>
    <col min="7" max="7" width="14.1796875" style="135" bestFit="1" customWidth="1"/>
    <col min="8" max="8" width="15.81640625" style="420" customWidth="1"/>
    <col min="9" max="9" width="14.1796875" bestFit="1" customWidth="1"/>
    <col min="10" max="10" width="14.1796875" style="135" bestFit="1" customWidth="1"/>
    <col min="11" max="11" width="12.1796875" style="420" bestFit="1" customWidth="1"/>
    <col min="12" max="12" width="14.1796875" style="284" bestFit="1" customWidth="1"/>
    <col min="13" max="13" width="14.1796875" style="136" bestFit="1" customWidth="1"/>
    <col min="14" max="14" width="12.90625" style="430" bestFit="1" customWidth="1"/>
    <col min="15" max="15" width="14.1796875" style="214" bestFit="1" customWidth="1"/>
    <col min="16" max="16" width="1.36328125" style="89" customWidth="1"/>
    <col min="17" max="18" width="11.54296875" style="89" bestFit="1" customWidth="1"/>
    <col min="19" max="16384" width="9.08984375" style="89"/>
  </cols>
  <sheetData>
    <row r="1" spans="2:18" ht="16" thickBot="1">
      <c r="B1" s="390" t="s">
        <v>253</v>
      </c>
      <c r="C1" s="374"/>
      <c r="I1" s="284"/>
    </row>
    <row r="2" spans="2:18" s="216" customFormat="1" ht="16" thickBot="1">
      <c r="B2" s="462" t="s">
        <v>76</v>
      </c>
      <c r="C2" s="453" t="s">
        <v>0</v>
      </c>
      <c r="D2" s="439" t="s">
        <v>242</v>
      </c>
      <c r="E2" s="315" t="s">
        <v>120</v>
      </c>
      <c r="F2" s="316" t="s">
        <v>112</v>
      </c>
      <c r="G2" s="441" t="s">
        <v>211</v>
      </c>
      <c r="H2" s="442"/>
      <c r="I2" s="443"/>
      <c r="J2" s="441" t="s">
        <v>212</v>
      </c>
      <c r="K2" s="442"/>
      <c r="L2" s="443"/>
      <c r="M2" s="441" t="s">
        <v>213</v>
      </c>
      <c r="N2" s="442"/>
      <c r="O2" s="443"/>
    </row>
    <row r="3" spans="2:18" ht="44" thickBot="1">
      <c r="B3" s="463"/>
      <c r="C3" s="454"/>
      <c r="D3" s="440"/>
      <c r="E3" s="225" t="s">
        <v>119</v>
      </c>
      <c r="F3" s="226" t="s">
        <v>118</v>
      </c>
      <c r="G3" s="285" t="s">
        <v>250</v>
      </c>
      <c r="H3" s="421" t="s">
        <v>249</v>
      </c>
      <c r="I3" s="287" t="s">
        <v>251</v>
      </c>
      <c r="J3" s="285" t="s">
        <v>250</v>
      </c>
      <c r="K3" s="421" t="s">
        <v>249</v>
      </c>
      <c r="L3" s="287" t="s">
        <v>251</v>
      </c>
      <c r="M3" s="285" t="s">
        <v>250</v>
      </c>
      <c r="N3" s="421" t="s">
        <v>249</v>
      </c>
      <c r="O3" s="287" t="s">
        <v>251</v>
      </c>
    </row>
    <row r="4" spans="2:18" s="219" customFormat="1" ht="19" thickBot="1">
      <c r="B4" s="307"/>
      <c r="C4" s="375"/>
      <c r="D4" s="308" t="s">
        <v>243</v>
      </c>
      <c r="E4" s="252"/>
      <c r="F4" s="227"/>
      <c r="G4" s="301"/>
      <c r="H4" s="422"/>
      <c r="I4" s="303"/>
      <c r="J4" s="301"/>
      <c r="K4" s="422"/>
      <c r="L4" s="303"/>
      <c r="M4" s="304" t="e">
        <f>M12/$M$63</f>
        <v>#DIV/0!</v>
      </c>
      <c r="N4" s="432"/>
      <c r="O4" s="306"/>
    </row>
    <row r="5" spans="2:18" s="109" customFormat="1">
      <c r="B5" s="444"/>
      <c r="C5" s="450"/>
      <c r="D5" s="310"/>
      <c r="E5" s="253"/>
      <c r="F5" s="228"/>
      <c r="G5" s="236"/>
      <c r="H5" s="423"/>
      <c r="I5" s="300"/>
      <c r="J5" s="288"/>
      <c r="K5" s="426"/>
      <c r="L5" s="289"/>
      <c r="M5" s="242">
        <f t="shared" ref="M5:N11" si="0">G5+J5</f>
        <v>0</v>
      </c>
      <c r="N5" s="433">
        <f t="shared" si="0"/>
        <v>0</v>
      </c>
      <c r="O5" s="243">
        <f>M5+N5</f>
        <v>0</v>
      </c>
    </row>
    <row r="6" spans="2:18" s="109" customFormat="1">
      <c r="B6" s="445"/>
      <c r="C6" s="451"/>
      <c r="D6" s="263"/>
      <c r="E6" s="254"/>
      <c r="F6" s="229"/>
      <c r="G6" s="237">
        <f>E6*F6</f>
        <v>0</v>
      </c>
      <c r="H6" s="424"/>
      <c r="I6" s="290">
        <f>G6+H6</f>
        <v>0</v>
      </c>
      <c r="J6" s="237">
        <f>G6*1.1</f>
        <v>0</v>
      </c>
      <c r="K6" s="424"/>
      <c r="L6" s="290">
        <f>J6+K6</f>
        <v>0</v>
      </c>
      <c r="M6" s="242">
        <f t="shared" si="0"/>
        <v>0</v>
      </c>
      <c r="N6" s="433">
        <f t="shared" si="0"/>
        <v>0</v>
      </c>
      <c r="O6" s="243">
        <f t="shared" ref="O6:O11" si="1">M6+N6</f>
        <v>0</v>
      </c>
    </row>
    <row r="7" spans="2:18" s="109" customFormat="1">
      <c r="B7" s="446"/>
      <c r="C7" s="452"/>
      <c r="D7" s="263"/>
      <c r="E7" s="254"/>
      <c r="F7" s="229"/>
      <c r="G7" s="237">
        <f>E7*F7</f>
        <v>0</v>
      </c>
      <c r="H7" s="424"/>
      <c r="I7" s="290">
        <f t="shared" ref="I7:I11" si="2">G7+H7</f>
        <v>0</v>
      </c>
      <c r="J7" s="237">
        <f>G7*1.1</f>
        <v>0</v>
      </c>
      <c r="K7" s="424"/>
      <c r="L7" s="290">
        <f t="shared" ref="L7:L11" si="3">J7+K7</f>
        <v>0</v>
      </c>
      <c r="M7" s="242">
        <f t="shared" si="0"/>
        <v>0</v>
      </c>
      <c r="N7" s="433">
        <f t="shared" si="0"/>
        <v>0</v>
      </c>
      <c r="O7" s="243">
        <f t="shared" si="1"/>
        <v>0</v>
      </c>
    </row>
    <row r="8" spans="2:18" s="109" customFormat="1">
      <c r="B8" s="447"/>
      <c r="C8" s="458"/>
      <c r="D8" s="417"/>
      <c r="E8" s="254"/>
      <c r="F8" s="229"/>
      <c r="G8" s="237"/>
      <c r="H8" s="424"/>
      <c r="I8" s="290">
        <f t="shared" si="2"/>
        <v>0</v>
      </c>
      <c r="J8" s="237"/>
      <c r="K8" s="424"/>
      <c r="L8" s="290">
        <f t="shared" si="3"/>
        <v>0</v>
      </c>
      <c r="M8" s="242">
        <f t="shared" si="0"/>
        <v>0</v>
      </c>
      <c r="N8" s="433">
        <f t="shared" si="0"/>
        <v>0</v>
      </c>
      <c r="O8" s="243">
        <f t="shared" si="1"/>
        <v>0</v>
      </c>
    </row>
    <row r="9" spans="2:18" s="109" customFormat="1">
      <c r="B9" s="448"/>
      <c r="C9" s="459"/>
      <c r="D9" s="418"/>
      <c r="E9" s="254"/>
      <c r="F9" s="229"/>
      <c r="G9" s="237"/>
      <c r="H9" s="424">
        <f>$E$9*$F$9</f>
        <v>0</v>
      </c>
      <c r="I9" s="290">
        <f>G9+H9</f>
        <v>0</v>
      </c>
      <c r="J9" s="237"/>
      <c r="K9" s="424">
        <f>H9*1.1</f>
        <v>0</v>
      </c>
      <c r="L9" s="290">
        <f t="shared" si="3"/>
        <v>0</v>
      </c>
      <c r="M9" s="242">
        <f t="shared" si="0"/>
        <v>0</v>
      </c>
      <c r="N9" s="433">
        <f t="shared" si="0"/>
        <v>0</v>
      </c>
      <c r="O9" s="243">
        <f t="shared" si="1"/>
        <v>0</v>
      </c>
    </row>
    <row r="10" spans="2:18" s="109" customFormat="1">
      <c r="B10" s="448"/>
      <c r="C10" s="459"/>
      <c r="D10" s="419"/>
      <c r="E10" s="254"/>
      <c r="F10" s="229"/>
      <c r="G10" s="237"/>
      <c r="H10" s="424">
        <f>$E$10*$F$10</f>
        <v>0</v>
      </c>
      <c r="I10" s="290">
        <f t="shared" si="2"/>
        <v>0</v>
      </c>
      <c r="J10" s="237"/>
      <c r="K10" s="424">
        <f>H10*1.1</f>
        <v>0</v>
      </c>
      <c r="L10" s="290">
        <f t="shared" si="3"/>
        <v>0</v>
      </c>
      <c r="M10" s="242">
        <f t="shared" si="0"/>
        <v>0</v>
      </c>
      <c r="N10" s="433">
        <f t="shared" si="0"/>
        <v>0</v>
      </c>
      <c r="O10" s="243">
        <f t="shared" si="1"/>
        <v>0</v>
      </c>
      <c r="Q10" s="119"/>
    </row>
    <row r="11" spans="2:18" s="109" customFormat="1">
      <c r="B11" s="449"/>
      <c r="C11" s="460"/>
      <c r="D11" s="419"/>
      <c r="E11" s="254"/>
      <c r="F11" s="229"/>
      <c r="G11" s="237"/>
      <c r="H11" s="424">
        <f>$E$11*$F$11</f>
        <v>0</v>
      </c>
      <c r="I11" s="290">
        <f t="shared" si="2"/>
        <v>0</v>
      </c>
      <c r="J11" s="237"/>
      <c r="K11" s="424">
        <f>H11*1.1</f>
        <v>0</v>
      </c>
      <c r="L11" s="290">
        <f t="shared" si="3"/>
        <v>0</v>
      </c>
      <c r="M11" s="242">
        <f t="shared" si="0"/>
        <v>0</v>
      </c>
      <c r="N11" s="433">
        <f t="shared" si="0"/>
        <v>0</v>
      </c>
      <c r="O11" s="243">
        <f t="shared" si="1"/>
        <v>0</v>
      </c>
    </row>
    <row r="12" spans="2:18" ht="15" thickBot="1">
      <c r="B12" s="311"/>
      <c r="C12" s="376"/>
      <c r="D12" s="270" t="s">
        <v>81</v>
      </c>
      <c r="E12" s="255"/>
      <c r="F12" s="230"/>
      <c r="G12" s="241">
        <f t="shared" ref="G12:N12" si="4">SUM(G5:G11)</f>
        <v>0</v>
      </c>
      <c r="H12" s="425">
        <f>SUM(H5:H11)</f>
        <v>0</v>
      </c>
      <c r="I12" s="213">
        <f t="shared" si="4"/>
        <v>0</v>
      </c>
      <c r="J12" s="241">
        <f t="shared" si="4"/>
        <v>0</v>
      </c>
      <c r="K12" s="425">
        <f t="shared" si="4"/>
        <v>0</v>
      </c>
      <c r="L12" s="213">
        <f t="shared" si="4"/>
        <v>0</v>
      </c>
      <c r="M12" s="238">
        <f t="shared" si="4"/>
        <v>0</v>
      </c>
      <c r="N12" s="431">
        <f t="shared" si="4"/>
        <v>0</v>
      </c>
      <c r="O12" s="244">
        <f>M12+N12</f>
        <v>0</v>
      </c>
    </row>
    <row r="13" spans="2:18" s="219" customFormat="1" ht="19" thickBot="1">
      <c r="B13" s="312"/>
      <c r="C13" s="377"/>
      <c r="D13" s="313" t="s">
        <v>244</v>
      </c>
      <c r="E13" s="252"/>
      <c r="F13" s="227"/>
      <c r="G13" s="301"/>
      <c r="H13" s="422"/>
      <c r="I13" s="303"/>
      <c r="J13" s="301"/>
      <c r="K13" s="422"/>
      <c r="L13" s="303"/>
      <c r="M13" s="304" t="e">
        <f>M19/M63</f>
        <v>#DIV/0!</v>
      </c>
      <c r="N13" s="432"/>
      <c r="O13" s="306"/>
    </row>
    <row r="14" spans="2:18" s="109" customFormat="1">
      <c r="B14" s="464"/>
      <c r="C14" s="450"/>
      <c r="D14" s="272"/>
      <c r="E14" s="253"/>
      <c r="F14" s="231"/>
      <c r="G14" s="237">
        <f>E14*F14</f>
        <v>0</v>
      </c>
      <c r="H14" s="426">
        <v>0</v>
      </c>
      <c r="I14" s="290">
        <f t="shared" ref="I14:I17" si="5">G14+H14</f>
        <v>0</v>
      </c>
      <c r="J14" s="237">
        <f>G14*1.1</f>
        <v>0</v>
      </c>
      <c r="K14" s="426">
        <v>0</v>
      </c>
      <c r="L14" s="290">
        <f t="shared" ref="L14:L18" si="6">J14+K14</f>
        <v>0</v>
      </c>
      <c r="M14" s="245">
        <f t="shared" ref="M14:N18" si="7">G14+J14</f>
        <v>0</v>
      </c>
      <c r="N14" s="434">
        <f t="shared" si="7"/>
        <v>0</v>
      </c>
      <c r="O14" s="246">
        <f t="shared" ref="O14:O18" si="8">M14+N14</f>
        <v>0</v>
      </c>
    </row>
    <row r="15" spans="2:18" s="109" customFormat="1">
      <c r="B15" s="467"/>
      <c r="C15" s="451"/>
      <c r="D15" s="273"/>
      <c r="E15" s="256"/>
      <c r="F15" s="229"/>
      <c r="G15" s="237">
        <f t="shared" ref="G15" si="9">E15*F15</f>
        <v>0</v>
      </c>
      <c r="H15" s="426">
        <v>0</v>
      </c>
      <c r="I15" s="290">
        <f t="shared" si="5"/>
        <v>0</v>
      </c>
      <c r="J15" s="237">
        <v>0</v>
      </c>
      <c r="K15" s="426">
        <v>0</v>
      </c>
      <c r="L15" s="290">
        <f t="shared" si="6"/>
        <v>0</v>
      </c>
      <c r="M15" s="242">
        <f t="shared" si="7"/>
        <v>0</v>
      </c>
      <c r="N15" s="433">
        <f t="shared" si="7"/>
        <v>0</v>
      </c>
      <c r="O15" s="243">
        <f t="shared" si="8"/>
        <v>0</v>
      </c>
    </row>
    <row r="16" spans="2:18" s="109" customFormat="1">
      <c r="B16" s="467"/>
      <c r="C16" s="451"/>
      <c r="D16" s="274"/>
      <c r="E16" s="258"/>
      <c r="F16" s="232"/>
      <c r="G16" s="239">
        <f>E16*F16</f>
        <v>0</v>
      </c>
      <c r="H16" s="426">
        <v>0</v>
      </c>
      <c r="I16" s="290">
        <f t="shared" si="5"/>
        <v>0</v>
      </c>
      <c r="J16" s="239">
        <v>0</v>
      </c>
      <c r="K16" s="426">
        <v>0</v>
      </c>
      <c r="L16" s="290">
        <f t="shared" si="6"/>
        <v>0</v>
      </c>
      <c r="M16" s="242">
        <f t="shared" si="7"/>
        <v>0</v>
      </c>
      <c r="N16" s="433">
        <f t="shared" si="7"/>
        <v>0</v>
      </c>
      <c r="O16" s="243">
        <f t="shared" si="8"/>
        <v>0</v>
      </c>
      <c r="Q16" s="119"/>
      <c r="R16" s="119"/>
    </row>
    <row r="17" spans="2:17" s="109" customFormat="1">
      <c r="B17" s="467"/>
      <c r="C17" s="451"/>
      <c r="D17" s="274"/>
      <c r="E17" s="254"/>
      <c r="F17" s="232"/>
      <c r="G17" s="239">
        <f>E17*F17</f>
        <v>0</v>
      </c>
      <c r="H17" s="426">
        <v>0</v>
      </c>
      <c r="I17" s="290">
        <f t="shared" si="5"/>
        <v>0</v>
      </c>
      <c r="J17" s="239">
        <v>0</v>
      </c>
      <c r="K17" s="426">
        <v>0</v>
      </c>
      <c r="L17" s="290">
        <f t="shared" si="6"/>
        <v>0</v>
      </c>
      <c r="M17" s="242">
        <f t="shared" si="7"/>
        <v>0</v>
      </c>
      <c r="N17" s="433">
        <f t="shared" si="7"/>
        <v>0</v>
      </c>
      <c r="O17" s="243">
        <f t="shared" si="8"/>
        <v>0</v>
      </c>
    </row>
    <row r="18" spans="2:17" s="109" customFormat="1">
      <c r="B18" s="465"/>
      <c r="C18" s="452"/>
      <c r="D18" s="274"/>
      <c r="E18" s="257"/>
      <c r="F18" s="232"/>
      <c r="G18" s="237">
        <f>E18*F18</f>
        <v>0</v>
      </c>
      <c r="H18" s="426">
        <v>0</v>
      </c>
      <c r="I18" s="290">
        <f>G18+H18</f>
        <v>0</v>
      </c>
      <c r="J18" s="239">
        <f>G18*1.1</f>
        <v>0</v>
      </c>
      <c r="K18" s="426">
        <v>0</v>
      </c>
      <c r="L18" s="290">
        <f t="shared" si="6"/>
        <v>0</v>
      </c>
      <c r="M18" s="242">
        <f t="shared" si="7"/>
        <v>0</v>
      </c>
      <c r="N18" s="433">
        <f t="shared" si="7"/>
        <v>0</v>
      </c>
      <c r="O18" s="243">
        <f t="shared" si="8"/>
        <v>0</v>
      </c>
    </row>
    <row r="19" spans="2:17" ht="15" thickBot="1">
      <c r="B19" s="269"/>
      <c r="C19" s="379"/>
      <c r="D19" s="282" t="s">
        <v>84</v>
      </c>
      <c r="E19" s="255"/>
      <c r="F19" s="230"/>
      <c r="G19" s="241">
        <f t="shared" ref="G19:O19" si="10">SUM(G14:G18)</f>
        <v>0</v>
      </c>
      <c r="H19" s="425">
        <f t="shared" si="10"/>
        <v>0</v>
      </c>
      <c r="I19" s="213">
        <f t="shared" si="10"/>
        <v>0</v>
      </c>
      <c r="J19" s="241">
        <f t="shared" si="10"/>
        <v>0</v>
      </c>
      <c r="K19" s="425">
        <f t="shared" si="10"/>
        <v>0</v>
      </c>
      <c r="L19" s="213">
        <f t="shared" si="10"/>
        <v>0</v>
      </c>
      <c r="M19" s="241">
        <f t="shared" si="10"/>
        <v>0</v>
      </c>
      <c r="N19" s="425">
        <f t="shared" si="10"/>
        <v>0</v>
      </c>
      <c r="O19" s="213">
        <f t="shared" si="10"/>
        <v>0</v>
      </c>
    </row>
    <row r="20" spans="2:17" s="219" customFormat="1" ht="19" thickBot="1">
      <c r="B20" s="312"/>
      <c r="C20" s="377"/>
      <c r="D20" s="313" t="s">
        <v>245</v>
      </c>
      <c r="E20" s="252"/>
      <c r="F20" s="227"/>
      <c r="G20" s="301"/>
      <c r="H20" s="422"/>
      <c r="I20" s="303"/>
      <c r="J20" s="301"/>
      <c r="K20" s="422"/>
      <c r="L20" s="303"/>
      <c r="M20" s="304" t="e">
        <f>M32/M63</f>
        <v>#DIV/0!</v>
      </c>
      <c r="N20" s="432"/>
      <c r="O20" s="306"/>
    </row>
    <row r="21" spans="2:17" s="109" customFormat="1" ht="18" customHeight="1">
      <c r="B21" s="464"/>
      <c r="C21" s="450"/>
      <c r="D21" s="274"/>
      <c r="E21" s="257"/>
      <c r="F21" s="232"/>
      <c r="G21" s="239">
        <f t="shared" ref="G21:G27" si="11">E21*F21</f>
        <v>0</v>
      </c>
      <c r="H21" s="426">
        <v>0</v>
      </c>
      <c r="I21" s="290">
        <f t="shared" ref="I21:I30" si="12">G21+H21</f>
        <v>0</v>
      </c>
      <c r="J21" s="239">
        <f t="shared" ref="J21:J31" si="13">G21*1.1</f>
        <v>0</v>
      </c>
      <c r="K21" s="426">
        <v>0</v>
      </c>
      <c r="L21" s="290">
        <f t="shared" ref="L21:L30" si="14">J21+K21</f>
        <v>0</v>
      </c>
      <c r="M21" s="242">
        <f t="shared" ref="M21:M31" si="15">G21+J21</f>
        <v>0</v>
      </c>
      <c r="N21" s="433">
        <f t="shared" ref="N21:N31" si="16">H21+K21</f>
        <v>0</v>
      </c>
      <c r="O21" s="243">
        <f t="shared" ref="O21:O30" si="17">M21+N21</f>
        <v>0</v>
      </c>
    </row>
    <row r="22" spans="2:17" s="109" customFormat="1">
      <c r="B22" s="467"/>
      <c r="C22" s="451"/>
      <c r="D22" s="274"/>
      <c r="E22" s="257"/>
      <c r="F22" s="232"/>
      <c r="G22" s="239">
        <f t="shared" si="11"/>
        <v>0</v>
      </c>
      <c r="H22" s="426">
        <v>0</v>
      </c>
      <c r="I22" s="290">
        <f>G22+H22</f>
        <v>0</v>
      </c>
      <c r="J22" s="239">
        <f t="shared" si="13"/>
        <v>0</v>
      </c>
      <c r="K22" s="426">
        <v>0</v>
      </c>
      <c r="L22" s="290">
        <f>J22+K22</f>
        <v>0</v>
      </c>
      <c r="M22" s="242">
        <f t="shared" si="15"/>
        <v>0</v>
      </c>
      <c r="N22" s="433">
        <f t="shared" si="16"/>
        <v>0</v>
      </c>
      <c r="O22" s="243">
        <f>M22+N22</f>
        <v>0</v>
      </c>
    </row>
    <row r="23" spans="2:17" s="109" customFormat="1">
      <c r="B23" s="467"/>
      <c r="C23" s="451"/>
      <c r="D23" s="274"/>
      <c r="E23" s="257"/>
      <c r="F23" s="232"/>
      <c r="G23" s="239">
        <f t="shared" si="11"/>
        <v>0</v>
      </c>
      <c r="H23" s="426">
        <v>0</v>
      </c>
      <c r="I23" s="290">
        <f>G23+H23</f>
        <v>0</v>
      </c>
      <c r="J23" s="239">
        <f t="shared" si="13"/>
        <v>0</v>
      </c>
      <c r="K23" s="426">
        <v>0</v>
      </c>
      <c r="L23" s="290">
        <f>J23+K23</f>
        <v>0</v>
      </c>
      <c r="M23" s="242">
        <f t="shared" si="15"/>
        <v>0</v>
      </c>
      <c r="N23" s="433">
        <f t="shared" si="16"/>
        <v>0</v>
      </c>
      <c r="O23" s="243">
        <f>M23+N23</f>
        <v>0</v>
      </c>
    </row>
    <row r="24" spans="2:17" s="109" customFormat="1">
      <c r="B24" s="467"/>
      <c r="C24" s="451"/>
      <c r="D24" s="387"/>
      <c r="E24" s="257"/>
      <c r="F24" s="232"/>
      <c r="G24" s="239">
        <f t="shared" si="11"/>
        <v>0</v>
      </c>
      <c r="H24" s="426">
        <v>0</v>
      </c>
      <c r="I24" s="290">
        <f>G24+H24</f>
        <v>0</v>
      </c>
      <c r="J24" s="239">
        <f t="shared" si="13"/>
        <v>0</v>
      </c>
      <c r="K24" s="426">
        <v>0</v>
      </c>
      <c r="L24" s="290">
        <f>J24+K24</f>
        <v>0</v>
      </c>
      <c r="M24" s="242">
        <f t="shared" si="15"/>
        <v>0</v>
      </c>
      <c r="N24" s="433">
        <f t="shared" si="16"/>
        <v>0</v>
      </c>
      <c r="O24" s="243">
        <f>M24+N24</f>
        <v>0</v>
      </c>
    </row>
    <row r="25" spans="2:17" s="109" customFormat="1">
      <c r="B25" s="467"/>
      <c r="C25" s="451"/>
      <c r="D25" s="273"/>
      <c r="E25" s="254"/>
      <c r="F25" s="229"/>
      <c r="G25" s="239">
        <f t="shared" si="11"/>
        <v>0</v>
      </c>
      <c r="H25" s="426">
        <v>0</v>
      </c>
      <c r="I25" s="290">
        <f t="shared" ref="I25:I28" si="18">G25+H25</f>
        <v>0</v>
      </c>
      <c r="J25" s="239">
        <f t="shared" si="13"/>
        <v>0</v>
      </c>
      <c r="K25" s="426">
        <v>0</v>
      </c>
      <c r="L25" s="290">
        <f t="shared" ref="L25:L28" si="19">J25+K25</f>
        <v>0</v>
      </c>
      <c r="M25" s="242">
        <f t="shared" si="15"/>
        <v>0</v>
      </c>
      <c r="N25" s="433">
        <f t="shared" si="16"/>
        <v>0</v>
      </c>
      <c r="O25" s="243">
        <f t="shared" ref="O25:O28" si="20">M25+N25</f>
        <v>0</v>
      </c>
    </row>
    <row r="26" spans="2:17" s="109" customFormat="1">
      <c r="B26" s="467"/>
      <c r="C26" s="451"/>
      <c r="D26" s="274"/>
      <c r="E26" s="257"/>
      <c r="F26" s="232"/>
      <c r="G26" s="239">
        <f t="shared" si="11"/>
        <v>0</v>
      </c>
      <c r="H26" s="426">
        <v>0</v>
      </c>
      <c r="I26" s="290">
        <f t="shared" si="18"/>
        <v>0</v>
      </c>
      <c r="J26" s="239">
        <f t="shared" si="13"/>
        <v>0</v>
      </c>
      <c r="K26" s="426">
        <v>0</v>
      </c>
      <c r="L26" s="290">
        <f t="shared" si="19"/>
        <v>0</v>
      </c>
      <c r="M26" s="242">
        <f t="shared" si="15"/>
        <v>0</v>
      </c>
      <c r="N26" s="433">
        <f t="shared" si="16"/>
        <v>0</v>
      </c>
      <c r="O26" s="243">
        <f t="shared" si="20"/>
        <v>0</v>
      </c>
    </row>
    <row r="27" spans="2:17" s="109" customFormat="1">
      <c r="B27" s="467"/>
      <c r="C27" s="451"/>
      <c r="D27" s="273"/>
      <c r="E27" s="254"/>
      <c r="F27" s="229"/>
      <c r="G27" s="239">
        <f t="shared" si="11"/>
        <v>0</v>
      </c>
      <c r="H27" s="426">
        <v>0</v>
      </c>
      <c r="I27" s="290">
        <f t="shared" si="18"/>
        <v>0</v>
      </c>
      <c r="J27" s="239">
        <f t="shared" si="13"/>
        <v>0</v>
      </c>
      <c r="K27" s="426">
        <v>0</v>
      </c>
      <c r="L27" s="290">
        <f t="shared" si="19"/>
        <v>0</v>
      </c>
      <c r="M27" s="242">
        <f t="shared" si="15"/>
        <v>0</v>
      </c>
      <c r="N27" s="433">
        <f t="shared" si="16"/>
        <v>0</v>
      </c>
      <c r="O27" s="243">
        <f t="shared" si="20"/>
        <v>0</v>
      </c>
    </row>
    <row r="28" spans="2:17" s="109" customFormat="1">
      <c r="B28" s="465"/>
      <c r="C28" s="452"/>
      <c r="D28" s="273"/>
      <c r="E28" s="254"/>
      <c r="F28" s="229"/>
      <c r="G28" s="239">
        <f t="shared" ref="G28" si="21">E28*F28</f>
        <v>0</v>
      </c>
      <c r="H28" s="426">
        <v>0</v>
      </c>
      <c r="I28" s="290">
        <f t="shared" si="18"/>
        <v>0</v>
      </c>
      <c r="J28" s="239">
        <f t="shared" si="13"/>
        <v>0</v>
      </c>
      <c r="K28" s="426">
        <v>0</v>
      </c>
      <c r="L28" s="290">
        <f t="shared" si="19"/>
        <v>0</v>
      </c>
      <c r="M28" s="242">
        <f t="shared" si="15"/>
        <v>0</v>
      </c>
      <c r="N28" s="433">
        <f t="shared" si="16"/>
        <v>0</v>
      </c>
      <c r="O28" s="243">
        <f t="shared" si="20"/>
        <v>0</v>
      </c>
    </row>
    <row r="29" spans="2:17" s="109" customFormat="1">
      <c r="B29" s="271"/>
      <c r="C29" s="383"/>
      <c r="D29" s="275"/>
      <c r="E29" s="254"/>
      <c r="F29" s="229"/>
      <c r="G29" s="237">
        <f t="shared" ref="G29" si="22">E29*F29</f>
        <v>0</v>
      </c>
      <c r="H29" s="426">
        <v>0</v>
      </c>
      <c r="I29" s="290">
        <f t="shared" si="12"/>
        <v>0</v>
      </c>
      <c r="J29" s="237">
        <f t="shared" si="13"/>
        <v>0</v>
      </c>
      <c r="K29" s="426">
        <v>0</v>
      </c>
      <c r="L29" s="290">
        <f t="shared" si="14"/>
        <v>0</v>
      </c>
      <c r="M29" s="242">
        <f t="shared" si="15"/>
        <v>0</v>
      </c>
      <c r="N29" s="433">
        <f t="shared" si="16"/>
        <v>0</v>
      </c>
      <c r="O29" s="243">
        <f t="shared" si="17"/>
        <v>0</v>
      </c>
    </row>
    <row r="30" spans="2:17" s="109" customFormat="1">
      <c r="B30" s="466"/>
      <c r="C30" s="461"/>
      <c r="D30" s="275"/>
      <c r="E30" s="254"/>
      <c r="F30" s="229"/>
      <c r="G30" s="237">
        <f>E30*F30</f>
        <v>0</v>
      </c>
      <c r="H30" s="426">
        <v>0</v>
      </c>
      <c r="I30" s="290">
        <f t="shared" si="12"/>
        <v>0</v>
      </c>
      <c r="J30" s="237">
        <f t="shared" si="13"/>
        <v>0</v>
      </c>
      <c r="K30" s="426">
        <v>0</v>
      </c>
      <c r="L30" s="290">
        <f t="shared" si="14"/>
        <v>0</v>
      </c>
      <c r="M30" s="242">
        <f t="shared" si="15"/>
        <v>0</v>
      </c>
      <c r="N30" s="433">
        <f t="shared" si="16"/>
        <v>0</v>
      </c>
      <c r="O30" s="243">
        <f t="shared" si="17"/>
        <v>0</v>
      </c>
      <c r="Q30" s="119"/>
    </row>
    <row r="31" spans="2:17" s="109" customFormat="1">
      <c r="B31" s="465"/>
      <c r="C31" s="452"/>
      <c r="D31" s="387"/>
      <c r="E31" s="257"/>
      <c r="F31" s="232"/>
      <c r="G31" s="239">
        <f>E31*F31</f>
        <v>0</v>
      </c>
      <c r="H31" s="426">
        <v>0</v>
      </c>
      <c r="I31" s="290">
        <f>G31+H31</f>
        <v>0</v>
      </c>
      <c r="J31" s="239">
        <f t="shared" si="13"/>
        <v>0</v>
      </c>
      <c r="K31" s="426">
        <v>0</v>
      </c>
      <c r="L31" s="290">
        <f>J31+K31</f>
        <v>0</v>
      </c>
      <c r="M31" s="242">
        <f t="shared" si="15"/>
        <v>0</v>
      </c>
      <c r="N31" s="433">
        <f t="shared" si="16"/>
        <v>0</v>
      </c>
      <c r="O31" s="243">
        <f>M31+N31</f>
        <v>0</v>
      </c>
    </row>
    <row r="32" spans="2:17" ht="15" thickBot="1">
      <c r="B32" s="269"/>
      <c r="C32" s="379"/>
      <c r="D32" s="282" t="s">
        <v>81</v>
      </c>
      <c r="E32" s="255"/>
      <c r="F32" s="230"/>
      <c r="G32" s="241">
        <f t="shared" ref="G32:O32" si="23">SUM(G21:G31)</f>
        <v>0</v>
      </c>
      <c r="H32" s="425">
        <f t="shared" si="23"/>
        <v>0</v>
      </c>
      <c r="I32" s="213">
        <f t="shared" si="23"/>
        <v>0</v>
      </c>
      <c r="J32" s="241">
        <f t="shared" si="23"/>
        <v>0</v>
      </c>
      <c r="K32" s="425">
        <f t="shared" si="23"/>
        <v>0</v>
      </c>
      <c r="L32" s="213">
        <f t="shared" si="23"/>
        <v>0</v>
      </c>
      <c r="M32" s="241">
        <f t="shared" si="23"/>
        <v>0</v>
      </c>
      <c r="N32" s="425">
        <f t="shared" si="23"/>
        <v>0</v>
      </c>
      <c r="O32" s="213">
        <f t="shared" si="23"/>
        <v>0</v>
      </c>
    </row>
    <row r="33" spans="2:16" s="219" customFormat="1" ht="37.5" thickBot="1">
      <c r="B33" s="312"/>
      <c r="C33" s="377"/>
      <c r="D33" s="313" t="s">
        <v>246</v>
      </c>
      <c r="E33" s="252"/>
      <c r="F33" s="227"/>
      <c r="G33" s="301"/>
      <c r="H33" s="422"/>
      <c r="I33" s="303"/>
      <c r="J33" s="301"/>
      <c r="K33" s="422"/>
      <c r="L33" s="303"/>
      <c r="M33" s="304" t="e">
        <f>M42/M63</f>
        <v>#DIV/0!</v>
      </c>
      <c r="N33" s="432"/>
      <c r="O33" s="306"/>
    </row>
    <row r="34" spans="2:16">
      <c r="B34" s="464"/>
      <c r="C34" s="450"/>
      <c r="D34" s="275"/>
      <c r="E34" s="254"/>
      <c r="F34" s="229"/>
      <c r="G34" s="237"/>
      <c r="H34" s="426">
        <v>0</v>
      </c>
      <c r="I34" s="290">
        <f t="shared" ref="I34:I41" si="24">G34+H34</f>
        <v>0</v>
      </c>
      <c r="J34" s="237">
        <f>G34*1.1</f>
        <v>0</v>
      </c>
      <c r="K34" s="426">
        <v>0</v>
      </c>
      <c r="L34" s="290">
        <f t="shared" ref="L34:L41" si="25">J34+K34</f>
        <v>0</v>
      </c>
      <c r="M34" s="242">
        <f t="shared" ref="M34:N37" si="26">G34+J34</f>
        <v>0</v>
      </c>
      <c r="N34" s="433">
        <f t="shared" si="26"/>
        <v>0</v>
      </c>
      <c r="O34" s="243">
        <f t="shared" ref="O34:O41" si="27">M34+N34</f>
        <v>0</v>
      </c>
      <c r="P34" s="109"/>
    </row>
    <row r="35" spans="2:16">
      <c r="B35" s="465"/>
      <c r="C35" s="452"/>
      <c r="D35" s="388"/>
      <c r="E35" s="257"/>
      <c r="F35" s="232"/>
      <c r="G35" s="239"/>
      <c r="H35" s="426">
        <v>0</v>
      </c>
      <c r="I35" s="290">
        <f>G35+H35</f>
        <v>0</v>
      </c>
      <c r="J35" s="239">
        <f>G35*1.1</f>
        <v>0</v>
      </c>
      <c r="K35" s="426">
        <v>0</v>
      </c>
      <c r="L35" s="290">
        <f>J35+K35</f>
        <v>0</v>
      </c>
      <c r="M35" s="242">
        <f t="shared" si="26"/>
        <v>0</v>
      </c>
      <c r="N35" s="433">
        <f t="shared" si="26"/>
        <v>0</v>
      </c>
      <c r="O35" s="243">
        <f>M35+N35</f>
        <v>0</v>
      </c>
      <c r="P35" s="109"/>
    </row>
    <row r="36" spans="2:16">
      <c r="B36" s="271"/>
      <c r="C36" s="383"/>
      <c r="D36" s="275"/>
      <c r="E36" s="254"/>
      <c r="F36" s="229"/>
      <c r="G36" s="237"/>
      <c r="H36" s="426">
        <v>0</v>
      </c>
      <c r="I36" s="290">
        <f t="shared" si="24"/>
        <v>0</v>
      </c>
      <c r="J36" s="237">
        <f>G36*1.1</f>
        <v>0</v>
      </c>
      <c r="K36" s="426">
        <v>0</v>
      </c>
      <c r="L36" s="290">
        <f t="shared" si="25"/>
        <v>0</v>
      </c>
      <c r="M36" s="242">
        <f t="shared" si="26"/>
        <v>0</v>
      </c>
      <c r="N36" s="433">
        <f t="shared" si="26"/>
        <v>0</v>
      </c>
      <c r="O36" s="243">
        <f t="shared" si="27"/>
        <v>0</v>
      </c>
      <c r="P36" s="109"/>
    </row>
    <row r="37" spans="2:16">
      <c r="B37" s="271"/>
      <c r="C37" s="383"/>
      <c r="D37" s="275"/>
      <c r="E37" s="254"/>
      <c r="F37" s="229"/>
      <c r="G37" s="237"/>
      <c r="H37" s="426">
        <v>0</v>
      </c>
      <c r="I37" s="290">
        <f t="shared" si="24"/>
        <v>0</v>
      </c>
      <c r="J37" s="237">
        <f>G37*1.1</f>
        <v>0</v>
      </c>
      <c r="K37" s="426">
        <v>0</v>
      </c>
      <c r="L37" s="290">
        <f t="shared" si="25"/>
        <v>0</v>
      </c>
      <c r="M37" s="242">
        <f t="shared" si="26"/>
        <v>0</v>
      </c>
      <c r="N37" s="433">
        <f t="shared" si="26"/>
        <v>0</v>
      </c>
      <c r="O37" s="243">
        <f t="shared" si="27"/>
        <v>0</v>
      </c>
      <c r="P37" s="109"/>
    </row>
    <row r="38" spans="2:16" hidden="1">
      <c r="B38" s="271"/>
      <c r="C38" s="378"/>
      <c r="D38" s="276"/>
      <c r="E38" s="259"/>
      <c r="F38" s="233"/>
      <c r="G38" s="240"/>
      <c r="H38" s="427"/>
      <c r="I38" s="290">
        <f t="shared" si="24"/>
        <v>0</v>
      </c>
      <c r="J38" s="240"/>
      <c r="K38" s="427"/>
      <c r="L38" s="290">
        <f t="shared" si="25"/>
        <v>0</v>
      </c>
      <c r="M38" s="247"/>
      <c r="N38" s="435"/>
      <c r="O38" s="248">
        <f t="shared" si="27"/>
        <v>0</v>
      </c>
    </row>
    <row r="39" spans="2:16" hidden="1">
      <c r="B39" s="271"/>
      <c r="C39" s="378"/>
      <c r="D39" s="276"/>
      <c r="E39" s="259"/>
      <c r="F39" s="233"/>
      <c r="G39" s="240"/>
      <c r="H39" s="427"/>
      <c r="I39" s="290">
        <f t="shared" si="24"/>
        <v>0</v>
      </c>
      <c r="J39" s="240"/>
      <c r="K39" s="427"/>
      <c r="L39" s="290">
        <f t="shared" si="25"/>
        <v>0</v>
      </c>
      <c r="M39" s="247"/>
      <c r="N39" s="435"/>
      <c r="O39" s="248">
        <f t="shared" si="27"/>
        <v>0</v>
      </c>
    </row>
    <row r="40" spans="2:16" s="109" customFormat="1" hidden="1">
      <c r="B40" s="277"/>
      <c r="C40" s="372"/>
      <c r="D40" s="274"/>
      <c r="E40" s="258"/>
      <c r="F40" s="232"/>
      <c r="G40" s="239"/>
      <c r="H40" s="426"/>
      <c r="I40" s="290">
        <f t="shared" si="24"/>
        <v>0</v>
      </c>
      <c r="J40" s="239"/>
      <c r="K40" s="426"/>
      <c r="L40" s="290">
        <f t="shared" si="25"/>
        <v>0</v>
      </c>
      <c r="M40" s="249"/>
      <c r="N40" s="436"/>
      <c r="O40" s="250">
        <f t="shared" si="27"/>
        <v>0</v>
      </c>
    </row>
    <row r="41" spans="2:16" s="109" customFormat="1" hidden="1">
      <c r="B41" s="277"/>
      <c r="C41" s="372"/>
      <c r="D41" s="274"/>
      <c r="E41" s="254"/>
      <c r="F41" s="232"/>
      <c r="G41" s="239"/>
      <c r="H41" s="426"/>
      <c r="I41" s="290">
        <f t="shared" si="24"/>
        <v>0</v>
      </c>
      <c r="J41" s="239"/>
      <c r="K41" s="426"/>
      <c r="L41" s="290">
        <f t="shared" si="25"/>
        <v>0</v>
      </c>
      <c r="M41" s="249"/>
      <c r="N41" s="436"/>
      <c r="O41" s="250">
        <f t="shared" si="27"/>
        <v>0</v>
      </c>
    </row>
    <row r="42" spans="2:16" ht="15" thickBot="1">
      <c r="B42" s="269"/>
      <c r="C42" s="379"/>
      <c r="D42" s="282" t="s">
        <v>81</v>
      </c>
      <c r="E42" s="255"/>
      <c r="F42" s="230"/>
      <c r="G42" s="241">
        <f t="shared" ref="G42:N42" si="28">SUM(G34:G41)</f>
        <v>0</v>
      </c>
      <c r="H42" s="425">
        <f t="shared" si="28"/>
        <v>0</v>
      </c>
      <c r="I42" s="213">
        <f t="shared" si="28"/>
        <v>0</v>
      </c>
      <c r="J42" s="241">
        <f t="shared" si="28"/>
        <v>0</v>
      </c>
      <c r="K42" s="431">
        <f t="shared" si="28"/>
        <v>0</v>
      </c>
      <c r="L42" s="299">
        <f t="shared" si="28"/>
        <v>0</v>
      </c>
      <c r="M42" s="238">
        <f t="shared" si="28"/>
        <v>0</v>
      </c>
      <c r="N42" s="431">
        <f t="shared" si="28"/>
        <v>0</v>
      </c>
      <c r="O42" s="244">
        <f>M42+N42</f>
        <v>0</v>
      </c>
    </row>
    <row r="43" spans="2:16" s="219" customFormat="1" ht="19" thickBot="1">
      <c r="B43" s="312"/>
      <c r="C43" s="377"/>
      <c r="D43" s="313" t="s">
        <v>247</v>
      </c>
      <c r="E43" s="252"/>
      <c r="F43" s="227"/>
      <c r="G43" s="301"/>
      <c r="H43" s="422"/>
      <c r="I43" s="303"/>
      <c r="J43" s="301"/>
      <c r="K43" s="422"/>
      <c r="L43" s="303"/>
      <c r="M43" s="304" t="e">
        <f>M53/M63</f>
        <v>#DIV/0!</v>
      </c>
      <c r="N43" s="432"/>
      <c r="O43" s="306"/>
    </row>
    <row r="44" spans="2:16" s="109" customFormat="1" ht="43.25" customHeight="1">
      <c r="B44" s="444"/>
      <c r="C44" s="455"/>
      <c r="D44" s="275"/>
      <c r="E44" s="254"/>
      <c r="F44" s="229"/>
      <c r="G44" s="237"/>
      <c r="H44" s="426">
        <v>0</v>
      </c>
      <c r="I44" s="290">
        <f t="shared" ref="I44:I52" si="29">G44+H44</f>
        <v>0</v>
      </c>
      <c r="J44" s="237">
        <f t="shared" ref="J44:J52" si="30">G44*1.1</f>
        <v>0</v>
      </c>
      <c r="K44" s="426">
        <v>0</v>
      </c>
      <c r="L44" s="290">
        <f t="shared" ref="L44:L52" si="31">J44+K44</f>
        <v>0</v>
      </c>
      <c r="M44" s="242">
        <f t="shared" ref="M44:M52" si="32">G44+J44</f>
        <v>0</v>
      </c>
      <c r="N44" s="433">
        <f t="shared" ref="N44:N52" si="33">H44+K44</f>
        <v>0</v>
      </c>
      <c r="O44" s="243">
        <f t="shared" ref="O44:O52" si="34">M44+N44</f>
        <v>0</v>
      </c>
    </row>
    <row r="45" spans="2:16" s="109" customFormat="1">
      <c r="B45" s="445"/>
      <c r="C45" s="456"/>
      <c r="D45" s="274"/>
      <c r="E45" s="257"/>
      <c r="F45" s="232"/>
      <c r="G45" s="239"/>
      <c r="H45" s="426">
        <v>0</v>
      </c>
      <c r="I45" s="290">
        <f>G45+H45</f>
        <v>0</v>
      </c>
      <c r="J45" s="239">
        <f t="shared" si="30"/>
        <v>0</v>
      </c>
      <c r="K45" s="426">
        <v>0</v>
      </c>
      <c r="L45" s="290">
        <f>J45+K45</f>
        <v>0</v>
      </c>
      <c r="M45" s="242">
        <f t="shared" si="32"/>
        <v>0</v>
      </c>
      <c r="N45" s="433">
        <f t="shared" si="33"/>
        <v>0</v>
      </c>
      <c r="O45" s="243">
        <f>M45+N45</f>
        <v>0</v>
      </c>
    </row>
    <row r="46" spans="2:16" s="109" customFormat="1">
      <c r="B46" s="445"/>
      <c r="C46" s="456"/>
      <c r="D46" s="274"/>
      <c r="E46" s="257"/>
      <c r="F46" s="232"/>
      <c r="G46" s="239"/>
      <c r="H46" s="426">
        <v>0</v>
      </c>
      <c r="I46" s="290">
        <f>G46+H46</f>
        <v>0</v>
      </c>
      <c r="J46" s="239">
        <f t="shared" si="30"/>
        <v>0</v>
      </c>
      <c r="K46" s="426">
        <v>0</v>
      </c>
      <c r="L46" s="290">
        <f>J46+K46</f>
        <v>0</v>
      </c>
      <c r="M46" s="242">
        <f t="shared" si="32"/>
        <v>0</v>
      </c>
      <c r="N46" s="433">
        <f t="shared" si="33"/>
        <v>0</v>
      </c>
      <c r="O46" s="243">
        <f>M46+N46</f>
        <v>0</v>
      </c>
    </row>
    <row r="47" spans="2:16" s="109" customFormat="1">
      <c r="B47" s="445"/>
      <c r="C47" s="456"/>
      <c r="D47" s="273"/>
      <c r="E47" s="254"/>
      <c r="F47" s="229"/>
      <c r="G47" s="239"/>
      <c r="H47" s="426">
        <v>0</v>
      </c>
      <c r="I47" s="290">
        <f t="shared" ref="I47:I50" si="35">G47+H47</f>
        <v>0</v>
      </c>
      <c r="J47" s="239">
        <f t="shared" si="30"/>
        <v>0</v>
      </c>
      <c r="K47" s="426">
        <v>0</v>
      </c>
      <c r="L47" s="290">
        <f t="shared" ref="L47:L50" si="36">J47+K47</f>
        <v>0</v>
      </c>
      <c r="M47" s="242">
        <f t="shared" si="32"/>
        <v>0</v>
      </c>
      <c r="N47" s="433">
        <f t="shared" si="33"/>
        <v>0</v>
      </c>
      <c r="O47" s="243">
        <f t="shared" ref="O47:O50" si="37">M47+N47</f>
        <v>0</v>
      </c>
    </row>
    <row r="48" spans="2:16" s="109" customFormat="1">
      <c r="B48" s="445"/>
      <c r="C48" s="456"/>
      <c r="D48" s="274"/>
      <c r="E48" s="257"/>
      <c r="F48" s="232"/>
      <c r="G48" s="239"/>
      <c r="H48" s="426">
        <v>0</v>
      </c>
      <c r="I48" s="290">
        <f t="shared" si="35"/>
        <v>0</v>
      </c>
      <c r="J48" s="239">
        <f t="shared" si="30"/>
        <v>0</v>
      </c>
      <c r="K48" s="426">
        <v>0</v>
      </c>
      <c r="L48" s="290">
        <f t="shared" si="36"/>
        <v>0</v>
      </c>
      <c r="M48" s="242">
        <f t="shared" si="32"/>
        <v>0</v>
      </c>
      <c r="N48" s="433">
        <f t="shared" si="33"/>
        <v>0</v>
      </c>
      <c r="O48" s="243">
        <f t="shared" si="37"/>
        <v>0</v>
      </c>
    </row>
    <row r="49" spans="2:15" s="109" customFormat="1">
      <c r="B49" s="445"/>
      <c r="C49" s="456"/>
      <c r="D49" s="273"/>
      <c r="E49" s="254"/>
      <c r="F49" s="229"/>
      <c r="G49" s="239"/>
      <c r="H49" s="426">
        <v>0</v>
      </c>
      <c r="I49" s="290">
        <f t="shared" si="35"/>
        <v>0</v>
      </c>
      <c r="J49" s="239">
        <f t="shared" si="30"/>
        <v>0</v>
      </c>
      <c r="K49" s="426">
        <v>0</v>
      </c>
      <c r="L49" s="290">
        <f t="shared" si="36"/>
        <v>0</v>
      </c>
      <c r="M49" s="242">
        <f t="shared" si="32"/>
        <v>0</v>
      </c>
      <c r="N49" s="433">
        <f t="shared" si="33"/>
        <v>0</v>
      </c>
      <c r="O49" s="243">
        <f t="shared" si="37"/>
        <v>0</v>
      </c>
    </row>
    <row r="50" spans="2:15" s="109" customFormat="1">
      <c r="B50" s="446"/>
      <c r="C50" s="457"/>
      <c r="D50" s="273"/>
      <c r="E50" s="254"/>
      <c r="F50" s="229"/>
      <c r="G50" s="239"/>
      <c r="H50" s="426">
        <v>0</v>
      </c>
      <c r="I50" s="290">
        <f t="shared" si="35"/>
        <v>0</v>
      </c>
      <c r="J50" s="239">
        <f t="shared" si="30"/>
        <v>0</v>
      </c>
      <c r="K50" s="426">
        <v>0</v>
      </c>
      <c r="L50" s="290">
        <f t="shared" si="36"/>
        <v>0</v>
      </c>
      <c r="M50" s="242">
        <f t="shared" si="32"/>
        <v>0</v>
      </c>
      <c r="N50" s="433">
        <f t="shared" si="33"/>
        <v>0</v>
      </c>
      <c r="O50" s="243">
        <f t="shared" si="37"/>
        <v>0</v>
      </c>
    </row>
    <row r="51" spans="2:15" s="109" customFormat="1">
      <c r="B51" s="278"/>
      <c r="C51" s="385"/>
      <c r="D51" s="279"/>
      <c r="E51" s="254"/>
      <c r="F51" s="229"/>
      <c r="G51" s="237"/>
      <c r="H51" s="426">
        <v>0</v>
      </c>
      <c r="I51" s="290">
        <f t="shared" si="29"/>
        <v>0</v>
      </c>
      <c r="J51" s="237">
        <f t="shared" si="30"/>
        <v>0</v>
      </c>
      <c r="K51" s="426">
        <v>0</v>
      </c>
      <c r="L51" s="290">
        <f t="shared" si="31"/>
        <v>0</v>
      </c>
      <c r="M51" s="242">
        <f t="shared" si="32"/>
        <v>0</v>
      </c>
      <c r="N51" s="433">
        <f t="shared" si="33"/>
        <v>0</v>
      </c>
      <c r="O51" s="243">
        <f t="shared" si="34"/>
        <v>0</v>
      </c>
    </row>
    <row r="52" spans="2:15" s="109" customFormat="1">
      <c r="B52" s="280"/>
      <c r="C52" s="386"/>
      <c r="D52" s="275"/>
      <c r="E52" s="254"/>
      <c r="F52" s="229"/>
      <c r="G52" s="237"/>
      <c r="H52" s="426">
        <v>0</v>
      </c>
      <c r="I52" s="290">
        <f t="shared" si="29"/>
        <v>0</v>
      </c>
      <c r="J52" s="237">
        <f t="shared" si="30"/>
        <v>0</v>
      </c>
      <c r="K52" s="426">
        <v>0</v>
      </c>
      <c r="L52" s="290">
        <f t="shared" si="31"/>
        <v>0</v>
      </c>
      <c r="M52" s="242">
        <f t="shared" si="32"/>
        <v>0</v>
      </c>
      <c r="N52" s="433">
        <f t="shared" si="33"/>
        <v>0</v>
      </c>
      <c r="O52" s="243">
        <f t="shared" si="34"/>
        <v>0</v>
      </c>
    </row>
    <row r="53" spans="2:15" ht="15" thickBot="1">
      <c r="B53" s="269"/>
      <c r="C53" s="379"/>
      <c r="D53" s="282" t="s">
        <v>81</v>
      </c>
      <c r="E53" s="255"/>
      <c r="F53" s="230"/>
      <c r="G53" s="241">
        <f t="shared" ref="G53:O53" si="38">SUM(G44:G52)</f>
        <v>0</v>
      </c>
      <c r="H53" s="425">
        <f t="shared" si="38"/>
        <v>0</v>
      </c>
      <c r="I53" s="213">
        <f t="shared" si="38"/>
        <v>0</v>
      </c>
      <c r="J53" s="241">
        <f t="shared" si="38"/>
        <v>0</v>
      </c>
      <c r="K53" s="425">
        <f t="shared" si="38"/>
        <v>0</v>
      </c>
      <c r="L53" s="213">
        <f t="shared" si="38"/>
        <v>0</v>
      </c>
      <c r="M53" s="241">
        <f t="shared" si="38"/>
        <v>0</v>
      </c>
      <c r="N53" s="425">
        <f t="shared" si="38"/>
        <v>0</v>
      </c>
      <c r="O53" s="213">
        <f t="shared" si="38"/>
        <v>0</v>
      </c>
    </row>
    <row r="54" spans="2:15" s="219" customFormat="1" ht="19" thickBot="1">
      <c r="B54" s="312"/>
      <c r="C54" s="377"/>
      <c r="D54" s="313" t="s">
        <v>248</v>
      </c>
      <c r="E54" s="252"/>
      <c r="F54" s="227"/>
      <c r="G54" s="301"/>
      <c r="H54" s="422"/>
      <c r="I54" s="303"/>
      <c r="J54" s="301"/>
      <c r="K54" s="422"/>
      <c r="L54" s="303"/>
      <c r="M54" s="304" t="e">
        <f>M58/M63</f>
        <v>#DIV/0!</v>
      </c>
      <c r="N54" s="432"/>
      <c r="O54" s="306"/>
    </row>
    <row r="55" spans="2:15" s="109" customFormat="1">
      <c r="B55" s="262"/>
      <c r="C55" s="384"/>
      <c r="D55" s="275"/>
      <c r="E55" s="254"/>
      <c r="F55" s="229"/>
      <c r="G55" s="237">
        <f t="shared" ref="G55:G56" si="39">E55*F55</f>
        <v>0</v>
      </c>
      <c r="H55" s="426">
        <v>0</v>
      </c>
      <c r="I55" s="290">
        <f t="shared" ref="I55:I57" si="40">G55+H55</f>
        <v>0</v>
      </c>
      <c r="J55" s="237">
        <v>0</v>
      </c>
      <c r="K55" s="426">
        <v>0</v>
      </c>
      <c r="L55" s="290">
        <f t="shared" ref="L55:L57" si="41">J55+K55</f>
        <v>0</v>
      </c>
      <c r="M55" s="242">
        <f t="shared" ref="M55:N57" si="42">G55+J55</f>
        <v>0</v>
      </c>
      <c r="N55" s="433">
        <f t="shared" si="42"/>
        <v>0</v>
      </c>
      <c r="O55" s="243">
        <f t="shared" ref="O55:O57" si="43">M55+N55</f>
        <v>0</v>
      </c>
    </row>
    <row r="56" spans="2:15" s="109" customFormat="1">
      <c r="B56" s="278"/>
      <c r="C56" s="385"/>
      <c r="D56" s="275"/>
      <c r="E56" s="254"/>
      <c r="F56" s="229"/>
      <c r="G56" s="237">
        <f t="shared" si="39"/>
        <v>0</v>
      </c>
      <c r="H56" s="426">
        <v>0</v>
      </c>
      <c r="I56" s="290">
        <f t="shared" si="40"/>
        <v>0</v>
      </c>
      <c r="J56" s="237">
        <f>G56*1.1</f>
        <v>0</v>
      </c>
      <c r="K56" s="426">
        <v>0</v>
      </c>
      <c r="L56" s="290">
        <f t="shared" si="41"/>
        <v>0</v>
      </c>
      <c r="M56" s="242">
        <f t="shared" si="42"/>
        <v>0</v>
      </c>
      <c r="N56" s="433">
        <f t="shared" si="42"/>
        <v>0</v>
      </c>
      <c r="O56" s="243">
        <f t="shared" si="43"/>
        <v>0</v>
      </c>
    </row>
    <row r="57" spans="2:15" s="109" customFormat="1" hidden="1">
      <c r="B57" s="280"/>
      <c r="C57" s="373"/>
      <c r="D57" s="275"/>
      <c r="E57" s="254"/>
      <c r="F57" s="229"/>
      <c r="G57" s="237"/>
      <c r="H57" s="426">
        <v>0</v>
      </c>
      <c r="I57" s="290">
        <f t="shared" si="40"/>
        <v>0</v>
      </c>
      <c r="J57" s="237">
        <f>G57*1.1</f>
        <v>0</v>
      </c>
      <c r="K57" s="426">
        <v>0</v>
      </c>
      <c r="L57" s="290">
        <f t="shared" si="41"/>
        <v>0</v>
      </c>
      <c r="M57" s="242">
        <f t="shared" si="42"/>
        <v>0</v>
      </c>
      <c r="N57" s="433">
        <f t="shared" si="42"/>
        <v>0</v>
      </c>
      <c r="O57" s="243">
        <f t="shared" si="43"/>
        <v>0</v>
      </c>
    </row>
    <row r="58" spans="2:15" ht="15" thickBot="1">
      <c r="B58" s="269"/>
      <c r="C58" s="379"/>
      <c r="D58" s="282" t="s">
        <v>81</v>
      </c>
      <c r="E58" s="255"/>
      <c r="F58" s="230"/>
      <c r="G58" s="241">
        <f t="shared" ref="G58:N58" si="44">SUM(G55:G57)</f>
        <v>0</v>
      </c>
      <c r="H58" s="425">
        <f t="shared" si="44"/>
        <v>0</v>
      </c>
      <c r="I58" s="213">
        <f t="shared" si="44"/>
        <v>0</v>
      </c>
      <c r="J58" s="241">
        <f t="shared" si="44"/>
        <v>0</v>
      </c>
      <c r="K58" s="425">
        <f t="shared" si="44"/>
        <v>0</v>
      </c>
      <c r="L58" s="213">
        <f t="shared" si="44"/>
        <v>0</v>
      </c>
      <c r="M58" s="238">
        <f t="shared" si="44"/>
        <v>0</v>
      </c>
      <c r="N58" s="431">
        <f t="shared" si="44"/>
        <v>0</v>
      </c>
      <c r="O58" s="244">
        <f>M58+N58</f>
        <v>0</v>
      </c>
    </row>
    <row r="59" spans="2:15" s="219" customFormat="1" ht="19" thickBot="1">
      <c r="B59" s="312"/>
      <c r="C59" s="377"/>
      <c r="D59" s="313" t="s">
        <v>208</v>
      </c>
      <c r="E59" s="252"/>
      <c r="F59" s="227"/>
      <c r="G59" s="301"/>
      <c r="H59" s="422"/>
      <c r="I59" s="303"/>
      <c r="J59" s="301"/>
      <c r="K59" s="422"/>
      <c r="L59" s="303"/>
      <c r="M59" s="318" t="e">
        <f>M60/M63</f>
        <v>#DIV/0!</v>
      </c>
      <c r="N59" s="432"/>
      <c r="O59" s="306"/>
    </row>
    <row r="60" spans="2:15" s="109" customFormat="1">
      <c r="B60" s="262"/>
      <c r="C60" s="389"/>
      <c r="D60" s="275"/>
      <c r="E60" s="254"/>
      <c r="F60" s="229"/>
      <c r="G60" s="237">
        <v>0</v>
      </c>
      <c r="H60" s="424">
        <v>0</v>
      </c>
      <c r="I60" s="290">
        <f>G60+H60</f>
        <v>0</v>
      </c>
      <c r="J60" s="237">
        <f>E60*F60</f>
        <v>0</v>
      </c>
      <c r="K60" s="424">
        <v>0</v>
      </c>
      <c r="L60" s="290">
        <f t="shared" ref="L60:L63" si="45">J60+K60</f>
        <v>0</v>
      </c>
      <c r="M60" s="242">
        <f>G60+J60</f>
        <v>0</v>
      </c>
      <c r="N60" s="433">
        <f>H60+K60</f>
        <v>0</v>
      </c>
      <c r="O60" s="243">
        <f t="shared" ref="O60:O63" si="46">M60+N60</f>
        <v>0</v>
      </c>
    </row>
    <row r="61" spans="2:15">
      <c r="B61" s="269"/>
      <c r="C61" s="379"/>
      <c r="D61" s="282" t="s">
        <v>207</v>
      </c>
      <c r="E61" s="260"/>
      <c r="F61" s="234"/>
      <c r="G61" s="241">
        <f>G12+G19+G32+G42+G53+G58</f>
        <v>0</v>
      </c>
      <c r="H61" s="425">
        <f>H12+H19+H32+H42+H53+H58</f>
        <v>0</v>
      </c>
      <c r="I61" s="251">
        <f t="shared" ref="I61:I63" si="47">G61+H61</f>
        <v>0</v>
      </c>
      <c r="J61" s="241">
        <f>J12+J19+J32+J42+J53+J58+J60</f>
        <v>0</v>
      </c>
      <c r="K61" s="425">
        <f>K12+K19+K32+K42+K53+K58</f>
        <v>0</v>
      </c>
      <c r="L61" s="251">
        <f t="shared" si="45"/>
        <v>0</v>
      </c>
      <c r="M61" s="241">
        <f>M12+M19+M32+M42+M53+M58+M60</f>
        <v>0</v>
      </c>
      <c r="N61" s="425">
        <f>N12+N19+N32+N42+N53+N58</f>
        <v>0</v>
      </c>
      <c r="O61" s="251">
        <f t="shared" si="46"/>
        <v>0</v>
      </c>
    </row>
    <row r="62" spans="2:15" s="109" customFormat="1">
      <c r="B62" s="278">
        <v>8.1</v>
      </c>
      <c r="C62" s="385"/>
      <c r="D62" s="275"/>
      <c r="E62" s="254"/>
      <c r="F62" s="229"/>
      <c r="G62" s="237">
        <f>G61*8.5%</f>
        <v>0</v>
      </c>
      <c r="H62" s="426">
        <v>0</v>
      </c>
      <c r="I62" s="290">
        <f t="shared" si="47"/>
        <v>0</v>
      </c>
      <c r="J62" s="237">
        <f>J61*8.5%</f>
        <v>0</v>
      </c>
      <c r="K62" s="426">
        <v>0</v>
      </c>
      <c r="L62" s="290">
        <f t="shared" si="45"/>
        <v>0</v>
      </c>
      <c r="M62" s="242">
        <f>M61*8.5%</f>
        <v>0</v>
      </c>
      <c r="N62" s="433">
        <v>0</v>
      </c>
      <c r="O62" s="243">
        <f>M62+N62</f>
        <v>0</v>
      </c>
    </row>
    <row r="63" spans="2:15" s="216" customFormat="1" ht="15.5">
      <c r="B63" s="340"/>
      <c r="C63" s="380"/>
      <c r="D63" s="341" t="s">
        <v>107</v>
      </c>
      <c r="E63" s="342"/>
      <c r="F63" s="343"/>
      <c r="G63" s="344">
        <f>G61+G62</f>
        <v>0</v>
      </c>
      <c r="H63" s="428">
        <f t="shared" ref="H63:N63" si="48">H61+H62</f>
        <v>0</v>
      </c>
      <c r="I63" s="346">
        <f t="shared" si="47"/>
        <v>0</v>
      </c>
      <c r="J63" s="344">
        <f t="shared" si="48"/>
        <v>0</v>
      </c>
      <c r="K63" s="428">
        <f t="shared" si="48"/>
        <v>0</v>
      </c>
      <c r="L63" s="346">
        <f t="shared" si="45"/>
        <v>0</v>
      </c>
      <c r="M63" s="344">
        <f>M61+M62</f>
        <v>0</v>
      </c>
      <c r="N63" s="428">
        <f t="shared" si="48"/>
        <v>0</v>
      </c>
      <c r="O63" s="346">
        <f t="shared" si="46"/>
        <v>0</v>
      </c>
    </row>
    <row r="64" spans="2:15" s="109" customFormat="1">
      <c r="B64" s="278">
        <v>9.1</v>
      </c>
      <c r="C64" s="385" t="s">
        <v>252</v>
      </c>
      <c r="D64" s="275"/>
      <c r="E64" s="254"/>
      <c r="F64" s="229"/>
      <c r="G64" s="237"/>
      <c r="H64" s="426"/>
      <c r="I64" s="290"/>
      <c r="J64" s="237"/>
      <c r="K64" s="426"/>
      <c r="L64" s="290"/>
      <c r="M64" s="242"/>
      <c r="N64" s="433"/>
      <c r="O64" s="243"/>
    </row>
    <row r="65" spans="2:15" s="216" customFormat="1" ht="15.5">
      <c r="B65" s="340"/>
      <c r="C65" s="380"/>
      <c r="D65" s="341" t="s">
        <v>254</v>
      </c>
      <c r="E65" s="342"/>
      <c r="F65" s="343"/>
      <c r="G65" s="344"/>
      <c r="H65" s="428"/>
      <c r="I65" s="346"/>
      <c r="J65" s="344"/>
      <c r="K65" s="428"/>
      <c r="L65" s="346"/>
      <c r="M65" s="344">
        <f>M63+M64</f>
        <v>0</v>
      </c>
      <c r="N65" s="428"/>
      <c r="O65" s="346"/>
    </row>
    <row r="66" spans="2:15" s="215" customFormat="1" thickBot="1">
      <c r="B66" s="283"/>
      <c r="C66" s="381"/>
      <c r="D66" s="314"/>
      <c r="E66" s="291"/>
      <c r="F66" s="291"/>
      <c r="G66" s="292" t="e">
        <f>G63/$O$63</f>
        <v>#DIV/0!</v>
      </c>
      <c r="H66" s="429" t="e">
        <f>H63/$O$63</f>
        <v>#DIV/0!</v>
      </c>
      <c r="I66" s="294" t="e">
        <f t="shared" ref="I66" si="49">I63/$O$63</f>
        <v>#DIV/0!</v>
      </c>
      <c r="J66" s="292" t="e">
        <f t="shared" ref="J66:O66" si="50">J63/$O$63</f>
        <v>#DIV/0!</v>
      </c>
      <c r="K66" s="429" t="e">
        <f t="shared" si="50"/>
        <v>#DIV/0!</v>
      </c>
      <c r="L66" s="294" t="e">
        <f t="shared" si="50"/>
        <v>#DIV/0!</v>
      </c>
      <c r="M66" s="295" t="e">
        <f t="shared" si="50"/>
        <v>#DIV/0!</v>
      </c>
      <c r="N66" s="437" t="e">
        <f t="shared" si="50"/>
        <v>#DIV/0!</v>
      </c>
      <c r="O66" s="297" t="e">
        <f t="shared" si="50"/>
        <v>#DIV/0!</v>
      </c>
    </row>
    <row r="68" spans="2:15" thickBot="1">
      <c r="I68" s="284"/>
      <c r="M68" s="330" t="e">
        <f>M63/#REF!</f>
        <v>#REF!</v>
      </c>
      <c r="N68" s="438" t="e">
        <f>N63/#REF!</f>
        <v>#REF!</v>
      </c>
      <c r="O68" s="328" t="e">
        <f>M68+N68</f>
        <v>#REF!</v>
      </c>
    </row>
    <row r="69" spans="2:15" ht="14">
      <c r="I69" s="284"/>
      <c r="M69" s="136" t="e">
        <f>M68-#REF!</f>
        <v>#REF!</v>
      </c>
      <c r="N69" s="430" t="e">
        <f>N68-#REF!</f>
        <v>#REF!</v>
      </c>
      <c r="O69" s="214" t="e">
        <f>O68-#REF!-#REF!</f>
        <v>#REF!</v>
      </c>
    </row>
    <row r="70" spans="2:15" ht="31.5" hidden="1" thickBot="1">
      <c r="D70" s="395" t="s">
        <v>0</v>
      </c>
      <c r="E70" s="396" t="s">
        <v>228</v>
      </c>
      <c r="F70" s="397" t="s">
        <v>229</v>
      </c>
      <c r="G70" s="398" t="s">
        <v>220</v>
      </c>
      <c r="H70" s="399" t="s">
        <v>240</v>
      </c>
      <c r="I70" s="400" t="s">
        <v>241</v>
      </c>
    </row>
    <row r="71" spans="2:15" ht="29" hidden="1">
      <c r="D71" s="401" t="s">
        <v>230</v>
      </c>
      <c r="E71" s="391">
        <v>417047.63797346462</v>
      </c>
      <c r="F71" s="392">
        <v>0.55392699441206916</v>
      </c>
      <c r="G71" s="393">
        <v>0.25</v>
      </c>
      <c r="H71" s="394">
        <f>M12+M62+M64+M60</f>
        <v>0</v>
      </c>
      <c r="I71" s="402" t="e">
        <f>H71/$M$65</f>
        <v>#DIV/0!</v>
      </c>
      <c r="J71" s="369"/>
    </row>
    <row r="72" spans="2:15" ht="15.5" hidden="1">
      <c r="D72" s="403" t="s">
        <v>231</v>
      </c>
      <c r="E72" s="365">
        <v>26312.199999334633</v>
      </c>
      <c r="F72" s="363">
        <v>3.4948136699261306E-2</v>
      </c>
      <c r="G72" s="370">
        <v>0.1</v>
      </c>
      <c r="H72" s="368">
        <f>M19</f>
        <v>0</v>
      </c>
      <c r="I72" s="404" t="e">
        <f t="shared" ref="I72:I77" si="51">H72/$M$65</f>
        <v>#DIV/0!</v>
      </c>
      <c r="J72" s="369"/>
    </row>
    <row r="73" spans="2:15" ht="15.5" hidden="1">
      <c r="D73" s="403" t="s">
        <v>232</v>
      </c>
      <c r="E73" s="365">
        <v>9526.8310342418499</v>
      </c>
      <c r="F73" s="363">
        <v>1.2653635701456681E-2</v>
      </c>
      <c r="G73" s="370">
        <v>0</v>
      </c>
      <c r="H73" s="366">
        <v>0</v>
      </c>
      <c r="I73" s="404" t="e">
        <f t="shared" si="51"/>
        <v>#DIV/0!</v>
      </c>
      <c r="J73" s="369"/>
    </row>
    <row r="74" spans="2:15" ht="15.5" hidden="1">
      <c r="D74" s="403" t="s">
        <v>233</v>
      </c>
      <c r="E74" s="365">
        <v>202445.1594776393</v>
      </c>
      <c r="F74" s="363">
        <v>0.26888975865595444</v>
      </c>
      <c r="G74" s="370">
        <v>0.42</v>
      </c>
      <c r="H74" s="368">
        <f>M32</f>
        <v>0</v>
      </c>
      <c r="I74" s="404" t="e">
        <f t="shared" si="51"/>
        <v>#DIV/0!</v>
      </c>
      <c r="J74" s="369"/>
      <c r="L74" s="371"/>
    </row>
    <row r="75" spans="2:15" ht="15.5" hidden="1">
      <c r="D75" s="403" t="s">
        <v>234</v>
      </c>
      <c r="E75" s="365">
        <v>39568.263676068382</v>
      </c>
      <c r="F75" s="363">
        <v>5.2554977840645098E-2</v>
      </c>
      <c r="G75" s="370">
        <v>0.1</v>
      </c>
      <c r="H75" s="368">
        <f>M42</f>
        <v>0</v>
      </c>
      <c r="I75" s="404" t="e">
        <f t="shared" si="51"/>
        <v>#DIV/0!</v>
      </c>
      <c r="J75" s="369"/>
    </row>
    <row r="76" spans="2:15" ht="15.5" hidden="1">
      <c r="D76" s="403" t="s">
        <v>235</v>
      </c>
      <c r="E76" s="365">
        <v>42870.739654088327</v>
      </c>
      <c r="F76" s="363">
        <v>5.6941360656555064E-2</v>
      </c>
      <c r="G76" s="370">
        <v>0.1</v>
      </c>
      <c r="H76" s="368">
        <f>M53</f>
        <v>0</v>
      </c>
      <c r="I76" s="404" t="e">
        <f t="shared" si="51"/>
        <v>#DIV/0!</v>
      </c>
      <c r="J76" s="369"/>
    </row>
    <row r="77" spans="2:15" ht="15.5" hidden="1">
      <c r="D77" s="405" t="s">
        <v>236</v>
      </c>
      <c r="E77" s="406">
        <v>13609.758620345499</v>
      </c>
      <c r="F77" s="407">
        <v>1.80766224306524E-2</v>
      </c>
      <c r="G77" s="408">
        <v>0.03</v>
      </c>
      <c r="H77" s="409">
        <f>M58</f>
        <v>0</v>
      </c>
      <c r="I77" s="410" t="e">
        <f t="shared" si="51"/>
        <v>#DIV/0!</v>
      </c>
      <c r="J77" s="369"/>
    </row>
    <row r="78" spans="2:15" ht="16" hidden="1" thickBot="1">
      <c r="D78" s="411" t="s">
        <v>237</v>
      </c>
      <c r="E78" s="412">
        <v>752892.7858374432</v>
      </c>
      <c r="F78" s="413">
        <v>1</v>
      </c>
      <c r="G78" s="414">
        <v>1</v>
      </c>
      <c r="H78" s="415">
        <f>SUM(H71:H77)</f>
        <v>0</v>
      </c>
      <c r="I78" s="416" t="e">
        <f>SUM(I71:I77)</f>
        <v>#DIV/0!</v>
      </c>
    </row>
    <row r="79" spans="2:15" ht="14" hidden="1">
      <c r="H79" s="136" t="b">
        <f>H78=M65</f>
        <v>1</v>
      </c>
      <c r="I79" s="284"/>
    </row>
  </sheetData>
  <mergeCells count="20">
    <mergeCell ref="B8:B11"/>
    <mergeCell ref="C21:C28"/>
    <mergeCell ref="C2:C3"/>
    <mergeCell ref="C44:C50"/>
    <mergeCell ref="C5:C7"/>
    <mergeCell ref="C8:C11"/>
    <mergeCell ref="C14:C18"/>
    <mergeCell ref="C30:C31"/>
    <mergeCell ref="C34:C35"/>
    <mergeCell ref="B2:B3"/>
    <mergeCell ref="B44:B50"/>
    <mergeCell ref="B34:B35"/>
    <mergeCell ref="B30:B31"/>
    <mergeCell ref="B21:B28"/>
    <mergeCell ref="B14:B18"/>
    <mergeCell ref="D2:D3"/>
    <mergeCell ref="G2:I2"/>
    <mergeCell ref="J2:L2"/>
    <mergeCell ref="M2:O2"/>
    <mergeCell ref="B5:B7"/>
  </mergeCell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C463-4FFD-4FCF-BC6C-8B1EB0685501}">
  <sheetPr>
    <tabColor rgb="FFFF0000"/>
  </sheetPr>
  <dimension ref="B1:U62"/>
  <sheetViews>
    <sheetView showGridLines="0" zoomScale="90" zoomScaleNormal="90" workbookViewId="0">
      <pane ySplit="3" topLeftCell="A4" activePane="bottomLeft" state="frozen"/>
      <selection pane="bottomLeft" activeCell="R63" sqref="R63"/>
    </sheetView>
  </sheetViews>
  <sheetFormatPr defaultColWidth="9.08984375" defaultRowHeight="14"/>
  <cols>
    <col min="1" max="1" width="2.1796875" style="89" customWidth="1"/>
    <col min="2" max="2" width="8.453125" style="134" customWidth="1"/>
    <col min="3" max="3" width="68.453125" style="89" customWidth="1"/>
    <col min="4" max="4" width="11.08984375" style="173" customWidth="1"/>
    <col min="5" max="5" width="9.453125" style="173" customWidth="1"/>
    <col min="6" max="6" width="13.54296875" style="135" bestFit="1" customWidth="1"/>
    <col min="7" max="7" width="12.1796875" style="197" bestFit="1" customWidth="1"/>
    <col min="8" max="8" width="13.54296875" style="284" bestFit="1" customWidth="1"/>
    <col min="9" max="9" width="13.54296875" style="135" bestFit="1" customWidth="1"/>
    <col min="10" max="10" width="12.1796875" style="197" bestFit="1" customWidth="1"/>
    <col min="11" max="11" width="13.54296875" style="284" bestFit="1" customWidth="1"/>
    <col min="12" max="12" width="13.54296875" style="136" bestFit="1" customWidth="1"/>
    <col min="13" max="13" width="12.6328125" style="198" bestFit="1" customWidth="1"/>
    <col min="14" max="14" width="13.54296875" style="214" bestFit="1" customWidth="1"/>
    <col min="15" max="15" width="1.36328125" style="89" customWidth="1"/>
    <col min="16" max="16" width="13.36328125" style="135" customWidth="1"/>
    <col min="17" max="17" width="10.90625" style="135" customWidth="1"/>
    <col min="18" max="18" width="12.6328125" style="135" bestFit="1" customWidth="1"/>
    <col min="19" max="19" width="10" style="135" customWidth="1"/>
    <col min="20" max="20" width="9.90625" style="135" customWidth="1"/>
    <col min="21" max="21" width="10" style="89" bestFit="1" customWidth="1"/>
    <col min="22" max="16384" width="9.08984375" style="89"/>
  </cols>
  <sheetData>
    <row r="1" spans="2:21" ht="14.5" thickBot="1">
      <c r="B1" s="331" t="s">
        <v>225</v>
      </c>
    </row>
    <row r="2" spans="2:21" s="216" customFormat="1" ht="16" thickBot="1">
      <c r="B2" s="462" t="s">
        <v>76</v>
      </c>
      <c r="C2" s="439" t="s">
        <v>77</v>
      </c>
      <c r="D2" s="315" t="s">
        <v>120</v>
      </c>
      <c r="E2" s="316" t="s">
        <v>112</v>
      </c>
      <c r="F2" s="441" t="s">
        <v>211</v>
      </c>
      <c r="G2" s="475"/>
      <c r="H2" s="443"/>
      <c r="I2" s="441" t="s">
        <v>212</v>
      </c>
      <c r="J2" s="475"/>
      <c r="K2" s="443"/>
      <c r="L2" s="441" t="s">
        <v>213</v>
      </c>
      <c r="M2" s="475"/>
      <c r="N2" s="443"/>
      <c r="P2" s="468" t="s">
        <v>172</v>
      </c>
      <c r="Q2" s="468"/>
      <c r="R2" s="468"/>
      <c r="S2" s="468"/>
      <c r="T2" s="217"/>
      <c r="U2" s="317">
        <v>330.64510000000001</v>
      </c>
    </row>
    <row r="3" spans="2:21" ht="44" thickBot="1">
      <c r="B3" s="463"/>
      <c r="C3" s="440"/>
      <c r="D3" s="225" t="s">
        <v>119</v>
      </c>
      <c r="E3" s="226" t="s">
        <v>118</v>
      </c>
      <c r="F3" s="285" t="s">
        <v>181</v>
      </c>
      <c r="G3" s="286" t="s">
        <v>180</v>
      </c>
      <c r="H3" s="287" t="s">
        <v>210</v>
      </c>
      <c r="I3" s="285" t="s">
        <v>181</v>
      </c>
      <c r="J3" s="286" t="s">
        <v>180</v>
      </c>
      <c r="K3" s="287" t="s">
        <v>210</v>
      </c>
      <c r="L3" s="235" t="s">
        <v>181</v>
      </c>
      <c r="M3" s="223" t="s">
        <v>180</v>
      </c>
      <c r="N3" s="224" t="s">
        <v>210</v>
      </c>
      <c r="P3" s="193" t="s">
        <v>169</v>
      </c>
      <c r="Q3" s="193" t="s">
        <v>168</v>
      </c>
      <c r="R3" s="193" t="s">
        <v>170</v>
      </c>
      <c r="S3" s="193" t="s">
        <v>171</v>
      </c>
    </row>
    <row r="4" spans="2:21" s="219" customFormat="1" ht="19" thickBot="1">
      <c r="B4" s="307"/>
      <c r="C4" s="308" t="s">
        <v>187</v>
      </c>
      <c r="D4" s="252"/>
      <c r="E4" s="227"/>
      <c r="F4" s="301"/>
      <c r="G4" s="302"/>
      <c r="H4" s="303"/>
      <c r="I4" s="301"/>
      <c r="J4" s="302"/>
      <c r="K4" s="303"/>
      <c r="L4" s="304">
        <f>L14/$L$59</f>
        <v>0.21998972952740545</v>
      </c>
      <c r="M4" s="305"/>
      <c r="N4" s="306"/>
      <c r="P4" s="220"/>
      <c r="Q4" s="218"/>
      <c r="R4" s="218"/>
      <c r="S4" s="221"/>
      <c r="T4" s="222"/>
    </row>
    <row r="5" spans="2:21" s="109" customFormat="1" ht="14.5">
      <c r="B5" s="309"/>
      <c r="C5" s="310" t="s">
        <v>173</v>
      </c>
      <c r="D5" s="253"/>
      <c r="E5" s="228"/>
      <c r="F5" s="236"/>
      <c r="G5" s="204"/>
      <c r="H5" s="300"/>
      <c r="I5" s="288"/>
      <c r="J5" s="195"/>
      <c r="K5" s="289"/>
      <c r="L5" s="242">
        <f t="shared" ref="L5" si="0">F5+I5</f>
        <v>0</v>
      </c>
      <c r="M5" s="201">
        <f t="shared" ref="M5" si="1">G5+J5</f>
        <v>0</v>
      </c>
      <c r="N5" s="243">
        <f>L5+M5</f>
        <v>0</v>
      </c>
      <c r="P5" s="469">
        <f>L6+L7+L8+L9</f>
        <v>50400000</v>
      </c>
      <c r="Q5" s="469">
        <f>24+24+72+72</f>
        <v>192</v>
      </c>
      <c r="R5" s="469">
        <f>P5/Q5</f>
        <v>262500</v>
      </c>
      <c r="S5" s="469">
        <f>R5/U2</f>
        <v>793.90258618682083</v>
      </c>
      <c r="T5" s="203"/>
    </row>
    <row r="6" spans="2:21" s="109" customFormat="1" ht="14.5">
      <c r="B6" s="262" t="s">
        <v>174</v>
      </c>
      <c r="C6" s="263" t="s">
        <v>166</v>
      </c>
      <c r="D6" s="254">
        <v>450000</v>
      </c>
      <c r="E6" s="229">
        <v>12</v>
      </c>
      <c r="F6" s="237">
        <f t="shared" ref="F6" si="2">D6*E6</f>
        <v>5400000</v>
      </c>
      <c r="G6" s="196"/>
      <c r="H6" s="290">
        <f>F6+G6</f>
        <v>5400000</v>
      </c>
      <c r="I6" s="237">
        <f>F6*1.1</f>
        <v>5940000.0000000009</v>
      </c>
      <c r="J6" s="196"/>
      <c r="K6" s="290">
        <f>I6+J6</f>
        <v>5940000.0000000009</v>
      </c>
      <c r="L6" s="242">
        <f>F6+I6</f>
        <v>11340000</v>
      </c>
      <c r="M6" s="201">
        <f>G6+J6</f>
        <v>0</v>
      </c>
      <c r="N6" s="243">
        <f t="shared" ref="N6:N13" si="3">L6+M6</f>
        <v>11340000</v>
      </c>
      <c r="P6" s="470"/>
      <c r="Q6" s="470"/>
      <c r="R6" s="470"/>
      <c r="S6" s="470"/>
      <c r="T6" s="203"/>
      <c r="U6" s="182"/>
    </row>
    <row r="7" spans="2:21" s="109" customFormat="1" ht="14.5">
      <c r="B7" s="262" t="s">
        <v>175</v>
      </c>
      <c r="C7" s="263" t="s">
        <v>165</v>
      </c>
      <c r="D7" s="254">
        <v>200000</v>
      </c>
      <c r="E7" s="229">
        <v>12</v>
      </c>
      <c r="F7" s="237">
        <f>D7*E7</f>
        <v>2400000</v>
      </c>
      <c r="G7" s="196"/>
      <c r="H7" s="290">
        <f t="shared" ref="H7:H13" si="4">F7+G7</f>
        <v>2400000</v>
      </c>
      <c r="I7" s="237">
        <f>F7*1.1</f>
        <v>2640000</v>
      </c>
      <c r="J7" s="196"/>
      <c r="K7" s="290">
        <f t="shared" ref="K7:K13" si="5">I7+J7</f>
        <v>2640000</v>
      </c>
      <c r="L7" s="242">
        <f t="shared" ref="L7:L13" si="6">F7+I7</f>
        <v>5040000</v>
      </c>
      <c r="M7" s="201">
        <f t="shared" ref="M7:M13" si="7">G7+J7</f>
        <v>0</v>
      </c>
      <c r="N7" s="243">
        <f t="shared" si="3"/>
        <v>5040000</v>
      </c>
      <c r="P7" s="470"/>
      <c r="Q7" s="470"/>
      <c r="R7" s="470"/>
      <c r="S7" s="470"/>
      <c r="T7" s="203">
        <f>S5*Q5</f>
        <v>152429.2965478696</v>
      </c>
      <c r="U7" s="182"/>
    </row>
    <row r="8" spans="2:21" s="109" customFormat="1" ht="14.5">
      <c r="B8" s="262" t="s">
        <v>176</v>
      </c>
      <c r="C8" s="264" t="s">
        <v>167</v>
      </c>
      <c r="D8" s="254">
        <v>150000</v>
      </c>
      <c r="E8" s="229">
        <f>12*3</f>
        <v>36</v>
      </c>
      <c r="F8" s="237">
        <f>D8*E8</f>
        <v>5400000</v>
      </c>
      <c r="G8" s="196"/>
      <c r="H8" s="290">
        <f t="shared" si="4"/>
        <v>5400000</v>
      </c>
      <c r="I8" s="237">
        <f>F8*1.1</f>
        <v>5940000.0000000009</v>
      </c>
      <c r="J8" s="196"/>
      <c r="K8" s="290">
        <f t="shared" si="5"/>
        <v>5940000.0000000009</v>
      </c>
      <c r="L8" s="242">
        <f t="shared" si="6"/>
        <v>11340000</v>
      </c>
      <c r="M8" s="201">
        <f t="shared" si="7"/>
        <v>0</v>
      </c>
      <c r="N8" s="243">
        <f t="shared" si="3"/>
        <v>11340000</v>
      </c>
      <c r="P8" s="470"/>
      <c r="Q8" s="470"/>
      <c r="R8" s="470"/>
      <c r="S8" s="470"/>
      <c r="T8" s="203"/>
      <c r="U8" s="182"/>
    </row>
    <row r="9" spans="2:21" s="109" customFormat="1" ht="14.5">
      <c r="B9" s="262" t="s">
        <v>223</v>
      </c>
      <c r="C9" s="263" t="s">
        <v>222</v>
      </c>
      <c r="D9" s="254">
        <v>300000</v>
      </c>
      <c r="E9" s="160">
        <v>36</v>
      </c>
      <c r="F9" s="237">
        <f t="shared" ref="F9" si="8">D9*E9</f>
        <v>10800000</v>
      </c>
      <c r="G9" s="196"/>
      <c r="H9" s="290">
        <f t="shared" si="4"/>
        <v>10800000</v>
      </c>
      <c r="I9" s="237">
        <f>F9*1.1</f>
        <v>11880000.000000002</v>
      </c>
      <c r="J9" s="196"/>
      <c r="K9" s="290">
        <f t="shared" si="5"/>
        <v>11880000.000000002</v>
      </c>
      <c r="L9" s="242">
        <f t="shared" si="6"/>
        <v>22680000</v>
      </c>
      <c r="M9" s="201">
        <f t="shared" si="7"/>
        <v>0</v>
      </c>
      <c r="N9" s="243">
        <f t="shared" si="3"/>
        <v>22680000</v>
      </c>
      <c r="P9" s="471"/>
      <c r="Q9" s="471"/>
      <c r="R9" s="471"/>
      <c r="S9" s="471"/>
      <c r="T9" s="203"/>
      <c r="U9" s="182"/>
    </row>
    <row r="10" spans="2:21" s="109" customFormat="1" ht="14.5">
      <c r="B10" s="265"/>
      <c r="C10" s="266" t="s">
        <v>182</v>
      </c>
      <c r="D10" s="254"/>
      <c r="E10" s="229"/>
      <c r="F10" s="237"/>
      <c r="G10" s="196"/>
      <c r="H10" s="290">
        <f t="shared" si="4"/>
        <v>0</v>
      </c>
      <c r="I10" s="237"/>
      <c r="J10" s="196"/>
      <c r="K10" s="290">
        <f t="shared" si="5"/>
        <v>0</v>
      </c>
      <c r="L10" s="242">
        <f t="shared" si="6"/>
        <v>0</v>
      </c>
      <c r="M10" s="201">
        <f t="shared" si="7"/>
        <v>0</v>
      </c>
      <c r="N10" s="243">
        <f t="shared" si="3"/>
        <v>0</v>
      </c>
      <c r="P10" s="469">
        <f>SUM(M11:M13)</f>
        <v>10143000</v>
      </c>
      <c r="Q10" s="472">
        <f>24+24+24</f>
        <v>72</v>
      </c>
      <c r="R10" s="469">
        <f>P10/Q10</f>
        <v>140875</v>
      </c>
      <c r="S10" s="469">
        <f>R10/$U$2</f>
        <v>426.06105458692718</v>
      </c>
      <c r="T10" s="203"/>
      <c r="U10" s="182"/>
    </row>
    <row r="11" spans="2:21" s="109" customFormat="1" ht="14.5">
      <c r="B11" s="265" t="s">
        <v>177</v>
      </c>
      <c r="C11" s="267" t="s">
        <v>215</v>
      </c>
      <c r="D11" s="254">
        <f>850000*0.15</f>
        <v>127500</v>
      </c>
      <c r="E11" s="229">
        <v>12</v>
      </c>
      <c r="F11" s="237"/>
      <c r="G11" s="196">
        <f>$D$11*$E$11</f>
        <v>1530000</v>
      </c>
      <c r="H11" s="290">
        <f t="shared" si="4"/>
        <v>1530000</v>
      </c>
      <c r="I11" s="237"/>
      <c r="J11" s="196">
        <f>G11*1.1</f>
        <v>1683000.0000000002</v>
      </c>
      <c r="K11" s="290">
        <f t="shared" si="5"/>
        <v>1683000.0000000002</v>
      </c>
      <c r="L11" s="242">
        <f t="shared" si="6"/>
        <v>0</v>
      </c>
      <c r="M11" s="201">
        <f t="shared" si="7"/>
        <v>3213000</v>
      </c>
      <c r="N11" s="243">
        <f t="shared" si="3"/>
        <v>3213000</v>
      </c>
      <c r="P11" s="470"/>
      <c r="Q11" s="473"/>
      <c r="R11" s="470"/>
      <c r="S11" s="470"/>
      <c r="T11" s="203"/>
      <c r="U11" s="182"/>
    </row>
    <row r="12" spans="2:21" s="109" customFormat="1" ht="14.5">
      <c r="B12" s="265" t="s">
        <v>178</v>
      </c>
      <c r="C12" s="268" t="s">
        <v>216</v>
      </c>
      <c r="D12" s="254">
        <f>550000*0.25</f>
        <v>137500</v>
      </c>
      <c r="E12" s="229">
        <v>12</v>
      </c>
      <c r="F12" s="237"/>
      <c r="G12" s="196">
        <f>$D$12*$E$12</f>
        <v>1650000</v>
      </c>
      <c r="H12" s="290">
        <f t="shared" si="4"/>
        <v>1650000</v>
      </c>
      <c r="I12" s="237"/>
      <c r="J12" s="196">
        <f>G12*1.1</f>
        <v>1815000.0000000002</v>
      </c>
      <c r="K12" s="290">
        <f t="shared" si="5"/>
        <v>1815000.0000000002</v>
      </c>
      <c r="L12" s="242">
        <f t="shared" si="6"/>
        <v>0</v>
      </c>
      <c r="M12" s="201">
        <f t="shared" si="7"/>
        <v>3465000</v>
      </c>
      <c r="N12" s="243">
        <f t="shared" si="3"/>
        <v>3465000</v>
      </c>
      <c r="P12" s="470"/>
      <c r="Q12" s="473"/>
      <c r="R12" s="470"/>
      <c r="S12" s="470"/>
      <c r="T12" s="203">
        <f>S10*Q10</f>
        <v>30676.395930258757</v>
      </c>
      <c r="U12" s="182"/>
    </row>
    <row r="13" spans="2:21" s="109" customFormat="1" ht="14.5">
      <c r="B13" s="265" t="s">
        <v>179</v>
      </c>
      <c r="C13" s="268" t="s">
        <v>217</v>
      </c>
      <c r="D13" s="254">
        <f>550000*0.25</f>
        <v>137500</v>
      </c>
      <c r="E13" s="229">
        <v>12</v>
      </c>
      <c r="F13" s="237"/>
      <c r="G13" s="196">
        <f>$D$13*$E$13</f>
        <v>1650000</v>
      </c>
      <c r="H13" s="290">
        <f t="shared" si="4"/>
        <v>1650000</v>
      </c>
      <c r="I13" s="237"/>
      <c r="J13" s="196">
        <f>G13*1.1</f>
        <v>1815000.0000000002</v>
      </c>
      <c r="K13" s="290">
        <f t="shared" si="5"/>
        <v>1815000.0000000002</v>
      </c>
      <c r="L13" s="242">
        <f t="shared" si="6"/>
        <v>0</v>
      </c>
      <c r="M13" s="201">
        <f t="shared" si="7"/>
        <v>3465000</v>
      </c>
      <c r="N13" s="243">
        <f t="shared" si="3"/>
        <v>3465000</v>
      </c>
      <c r="P13" s="471"/>
      <c r="Q13" s="474"/>
      <c r="R13" s="471"/>
      <c r="S13" s="471"/>
      <c r="T13" s="203"/>
    </row>
    <row r="14" spans="2:21" ht="15" thickBot="1">
      <c r="B14" s="311"/>
      <c r="C14" s="270" t="s">
        <v>81</v>
      </c>
      <c r="D14" s="255"/>
      <c r="E14" s="230"/>
      <c r="F14" s="241">
        <f>SUM(F5:F13)</f>
        <v>24000000</v>
      </c>
      <c r="G14" s="212">
        <f t="shared" ref="G14:M14" si="9">SUM(G5:G13)</f>
        <v>4830000</v>
      </c>
      <c r="H14" s="213">
        <f t="shared" si="9"/>
        <v>28830000</v>
      </c>
      <c r="I14" s="241">
        <f t="shared" si="9"/>
        <v>26400000</v>
      </c>
      <c r="J14" s="212">
        <f t="shared" si="9"/>
        <v>5313000.0000000009</v>
      </c>
      <c r="K14" s="213">
        <f t="shared" si="9"/>
        <v>31713000</v>
      </c>
      <c r="L14" s="238">
        <f t="shared" si="9"/>
        <v>50400000</v>
      </c>
      <c r="M14" s="210">
        <f t="shared" si="9"/>
        <v>10143000</v>
      </c>
      <c r="N14" s="244">
        <f>L14+M14</f>
        <v>60543000</v>
      </c>
      <c r="P14" s="209">
        <f t="shared" ref="P14" si="10">SUM(P5:P13)</f>
        <v>60543000</v>
      </c>
      <c r="Q14" s="209">
        <f t="shared" ref="Q14" si="11">SUM(Q5:Q13)</f>
        <v>264</v>
      </c>
      <c r="R14" s="209">
        <f t="shared" ref="R14" si="12">SUM(R5:R13)</f>
        <v>403375</v>
      </c>
      <c r="S14" s="209">
        <f t="shared" ref="S14" si="13">SUM(S5:S13)</f>
        <v>1219.963640773748</v>
      </c>
    </row>
    <row r="15" spans="2:21" s="219" customFormat="1" ht="19" thickBot="1">
      <c r="B15" s="312"/>
      <c r="C15" s="313" t="s">
        <v>239</v>
      </c>
      <c r="D15" s="252"/>
      <c r="E15" s="227"/>
      <c r="F15" s="301"/>
      <c r="G15" s="302"/>
      <c r="H15" s="303"/>
      <c r="I15" s="301"/>
      <c r="J15" s="302"/>
      <c r="K15" s="303"/>
      <c r="L15" s="304">
        <f>L24/L59</f>
        <v>0.2549436532189821</v>
      </c>
      <c r="M15" s="305"/>
      <c r="N15" s="306"/>
      <c r="P15" s="220"/>
      <c r="Q15" s="218"/>
      <c r="R15" s="218"/>
      <c r="S15" s="221"/>
      <c r="T15" s="222"/>
    </row>
    <row r="16" spans="2:21" s="109" customFormat="1" ht="14.5">
      <c r="B16" s="261">
        <v>2.1</v>
      </c>
      <c r="C16" s="272" t="s">
        <v>183</v>
      </c>
      <c r="D16" s="253">
        <v>400000</v>
      </c>
      <c r="E16" s="231">
        <v>12</v>
      </c>
      <c r="F16" s="237">
        <f>D16*E16</f>
        <v>4800000</v>
      </c>
      <c r="G16" s="195">
        <v>0</v>
      </c>
      <c r="H16" s="290">
        <f t="shared" ref="H16:H23" si="14">F16+G16</f>
        <v>4800000</v>
      </c>
      <c r="I16" s="237">
        <f>F16*1.1</f>
        <v>5280000</v>
      </c>
      <c r="J16" s="195">
        <v>0</v>
      </c>
      <c r="K16" s="290">
        <f t="shared" ref="K16:K23" si="15">I16+J16</f>
        <v>5280000</v>
      </c>
      <c r="L16" s="245">
        <f t="shared" ref="L16:M23" si="16">F16+I16</f>
        <v>10080000</v>
      </c>
      <c r="M16" s="205">
        <f t="shared" si="16"/>
        <v>0</v>
      </c>
      <c r="N16" s="246">
        <f t="shared" ref="N16:N24" si="17">L16+M16</f>
        <v>10080000</v>
      </c>
      <c r="P16" s="206">
        <f>L16</f>
        <v>10080000</v>
      </c>
      <c r="Q16" s="206">
        <f>E16*2</f>
        <v>24</v>
      </c>
      <c r="R16" s="206">
        <f>P16/Q16</f>
        <v>420000</v>
      </c>
      <c r="S16" s="206">
        <f>R16/$U$2</f>
        <v>1270.2441378989133</v>
      </c>
      <c r="T16" s="203">
        <f>Q16*S16</f>
        <v>30485.85930957392</v>
      </c>
    </row>
    <row r="17" spans="2:20" s="109" customFormat="1" ht="14.5">
      <c r="B17" s="271">
        <v>2.2000000000000002</v>
      </c>
      <c r="C17" s="273" t="s">
        <v>184</v>
      </c>
      <c r="D17" s="256">
        <v>8700000</v>
      </c>
      <c r="E17" s="229">
        <v>1</v>
      </c>
      <c r="F17" s="237">
        <f t="shared" ref="F17" si="18">D17*E17</f>
        <v>8700000</v>
      </c>
      <c r="G17" s="195">
        <v>0</v>
      </c>
      <c r="H17" s="290">
        <f t="shared" si="14"/>
        <v>8700000</v>
      </c>
      <c r="I17" s="237">
        <v>0</v>
      </c>
      <c r="J17" s="195">
        <v>0</v>
      </c>
      <c r="K17" s="290">
        <f t="shared" si="15"/>
        <v>0</v>
      </c>
      <c r="L17" s="242">
        <f t="shared" si="16"/>
        <v>8700000</v>
      </c>
      <c r="M17" s="201">
        <f t="shared" si="16"/>
        <v>0</v>
      </c>
      <c r="N17" s="243">
        <f t="shared" si="17"/>
        <v>8700000</v>
      </c>
      <c r="P17" s="206">
        <f t="shared" ref="P17:P23" si="19">L17</f>
        <v>8700000</v>
      </c>
      <c r="Q17" s="207">
        <f>E17</f>
        <v>1</v>
      </c>
      <c r="R17" s="206">
        <f t="shared" ref="R17:R23" si="20">P17/Q17</f>
        <v>8700000</v>
      </c>
      <c r="S17" s="206">
        <f t="shared" ref="S17:S23" si="21">R17/$U$2</f>
        <v>26312.199999334633</v>
      </c>
      <c r="T17" s="203">
        <f t="shared" ref="T17:T23" si="22">Q17*S17</f>
        <v>26312.199999334633</v>
      </c>
    </row>
    <row r="18" spans="2:20" s="109" customFormat="1" ht="14.5">
      <c r="B18" s="271">
        <v>2.2999999999999998</v>
      </c>
      <c r="C18" s="274" t="s">
        <v>191</v>
      </c>
      <c r="D18" s="257">
        <v>100000</v>
      </c>
      <c r="E18" s="232">
        <v>12</v>
      </c>
      <c r="F18" s="239">
        <f>D18*E18</f>
        <v>1200000</v>
      </c>
      <c r="G18" s="195">
        <v>0</v>
      </c>
      <c r="H18" s="290">
        <f t="shared" si="14"/>
        <v>1200000</v>
      </c>
      <c r="I18" s="239">
        <f>F18*1.1</f>
        <v>1320000</v>
      </c>
      <c r="J18" s="195">
        <v>0</v>
      </c>
      <c r="K18" s="290">
        <f t="shared" si="15"/>
        <v>1320000</v>
      </c>
      <c r="L18" s="242">
        <f t="shared" si="16"/>
        <v>2520000</v>
      </c>
      <c r="M18" s="201">
        <f t="shared" si="16"/>
        <v>0</v>
      </c>
      <c r="N18" s="243">
        <f t="shared" si="17"/>
        <v>2520000</v>
      </c>
      <c r="P18" s="206">
        <f t="shared" si="19"/>
        <v>2520000</v>
      </c>
      <c r="Q18" s="206">
        <f>E18*2</f>
        <v>24</v>
      </c>
      <c r="R18" s="206">
        <f t="shared" si="20"/>
        <v>105000</v>
      </c>
      <c r="S18" s="206">
        <f t="shared" si="21"/>
        <v>317.56103447472833</v>
      </c>
      <c r="T18" s="203">
        <f t="shared" si="22"/>
        <v>7621.4648273934799</v>
      </c>
    </row>
    <row r="19" spans="2:20" s="109" customFormat="1" ht="14.5">
      <c r="B19" s="271">
        <v>2.4</v>
      </c>
      <c r="C19" s="273" t="s">
        <v>188</v>
      </c>
      <c r="D19" s="254">
        <v>350000</v>
      </c>
      <c r="E19" s="229">
        <v>36</v>
      </c>
      <c r="F19" s="239">
        <f>D19*E19</f>
        <v>12600000</v>
      </c>
      <c r="G19" s="195">
        <v>0</v>
      </c>
      <c r="H19" s="290">
        <f t="shared" si="14"/>
        <v>12600000</v>
      </c>
      <c r="I19" s="239">
        <f>F19*1.1</f>
        <v>13860000.000000002</v>
      </c>
      <c r="J19" s="195">
        <v>0</v>
      </c>
      <c r="K19" s="290">
        <f t="shared" si="15"/>
        <v>13860000.000000002</v>
      </c>
      <c r="L19" s="242">
        <f t="shared" si="16"/>
        <v>26460000</v>
      </c>
      <c r="M19" s="201">
        <f t="shared" si="16"/>
        <v>0</v>
      </c>
      <c r="N19" s="243">
        <f t="shared" si="17"/>
        <v>26460000</v>
      </c>
      <c r="P19" s="206">
        <f t="shared" si="19"/>
        <v>26460000</v>
      </c>
      <c r="Q19" s="206">
        <f>E19*2</f>
        <v>72</v>
      </c>
      <c r="R19" s="206">
        <f t="shared" si="20"/>
        <v>367500</v>
      </c>
      <c r="S19" s="206">
        <f t="shared" si="21"/>
        <v>1111.4636206615492</v>
      </c>
      <c r="T19" s="203">
        <f t="shared" si="22"/>
        <v>80025.380687631536</v>
      </c>
    </row>
    <row r="20" spans="2:20" s="109" customFormat="1" ht="14.5">
      <c r="B20" s="271">
        <v>2.5</v>
      </c>
      <c r="C20" s="273" t="s">
        <v>189</v>
      </c>
      <c r="D20" s="254">
        <v>150000</v>
      </c>
      <c r="E20" s="229">
        <v>12</v>
      </c>
      <c r="F20" s="239">
        <f>D20*E20</f>
        <v>1800000</v>
      </c>
      <c r="G20" s="195">
        <v>0</v>
      </c>
      <c r="H20" s="290">
        <f t="shared" si="14"/>
        <v>1800000</v>
      </c>
      <c r="I20" s="239">
        <f>F20*1.1</f>
        <v>1980000.0000000002</v>
      </c>
      <c r="J20" s="195">
        <v>0</v>
      </c>
      <c r="K20" s="290">
        <f t="shared" si="15"/>
        <v>1980000.0000000002</v>
      </c>
      <c r="L20" s="242">
        <f t="shared" si="16"/>
        <v>3780000</v>
      </c>
      <c r="M20" s="201">
        <f t="shared" si="16"/>
        <v>0</v>
      </c>
      <c r="N20" s="243">
        <f t="shared" si="17"/>
        <v>3780000</v>
      </c>
      <c r="P20" s="206">
        <f t="shared" si="19"/>
        <v>3780000</v>
      </c>
      <c r="Q20" s="206">
        <f>E20*2</f>
        <v>24</v>
      </c>
      <c r="R20" s="206">
        <f t="shared" si="20"/>
        <v>157500</v>
      </c>
      <c r="S20" s="206">
        <f t="shared" si="21"/>
        <v>476.3415517120925</v>
      </c>
      <c r="T20" s="203">
        <f t="shared" si="22"/>
        <v>11432.19724109022</v>
      </c>
    </row>
    <row r="21" spans="2:20" s="109" customFormat="1" ht="14.5">
      <c r="B21" s="271">
        <v>2.6</v>
      </c>
      <c r="C21" s="273" t="s">
        <v>190</v>
      </c>
      <c r="D21" s="254">
        <v>140000</v>
      </c>
      <c r="E21" s="229">
        <v>12</v>
      </c>
      <c r="F21" s="239">
        <f t="shared" ref="F21" si="23">D21*E21</f>
        <v>1680000</v>
      </c>
      <c r="G21" s="195">
        <v>0</v>
      </c>
      <c r="H21" s="290">
        <f t="shared" si="14"/>
        <v>1680000</v>
      </c>
      <c r="I21" s="239">
        <f>F21*1.1</f>
        <v>1848000.0000000002</v>
      </c>
      <c r="J21" s="195">
        <v>0</v>
      </c>
      <c r="K21" s="290">
        <f t="shared" si="15"/>
        <v>1848000.0000000002</v>
      </c>
      <c r="L21" s="242">
        <f t="shared" si="16"/>
        <v>3528000</v>
      </c>
      <c r="M21" s="201">
        <f t="shared" si="16"/>
        <v>0</v>
      </c>
      <c r="N21" s="243">
        <f t="shared" si="17"/>
        <v>3528000</v>
      </c>
      <c r="P21" s="206">
        <f t="shared" si="19"/>
        <v>3528000</v>
      </c>
      <c r="Q21" s="206">
        <f>E21*2</f>
        <v>24</v>
      </c>
      <c r="R21" s="206">
        <f t="shared" si="20"/>
        <v>147000</v>
      </c>
      <c r="S21" s="206">
        <f t="shared" si="21"/>
        <v>444.58544826461969</v>
      </c>
      <c r="T21" s="203">
        <f t="shared" si="22"/>
        <v>10670.050758350873</v>
      </c>
    </row>
    <row r="22" spans="2:20" s="109" customFormat="1" ht="29">
      <c r="B22" s="271">
        <v>2.7</v>
      </c>
      <c r="C22" s="274" t="s">
        <v>185</v>
      </c>
      <c r="D22" s="258">
        <v>390000</v>
      </c>
      <c r="E22" s="232">
        <v>6</v>
      </c>
      <c r="F22" s="239">
        <f>D22*E22</f>
        <v>2340000</v>
      </c>
      <c r="G22" s="195">
        <v>0</v>
      </c>
      <c r="H22" s="290">
        <f t="shared" si="14"/>
        <v>2340000</v>
      </c>
      <c r="I22" s="239">
        <v>0</v>
      </c>
      <c r="J22" s="195">
        <v>0</v>
      </c>
      <c r="K22" s="290">
        <f t="shared" si="15"/>
        <v>0</v>
      </c>
      <c r="L22" s="242">
        <f t="shared" si="16"/>
        <v>2340000</v>
      </c>
      <c r="M22" s="201">
        <f t="shared" si="16"/>
        <v>0</v>
      </c>
      <c r="N22" s="243">
        <f t="shared" si="17"/>
        <v>2340000</v>
      </c>
      <c r="P22" s="206">
        <f t="shared" si="19"/>
        <v>2340000</v>
      </c>
      <c r="Q22" s="108">
        <v>6</v>
      </c>
      <c r="R22" s="206">
        <f t="shared" si="20"/>
        <v>390000</v>
      </c>
      <c r="S22" s="206">
        <f t="shared" si="21"/>
        <v>1179.5124137632768</v>
      </c>
      <c r="T22" s="203">
        <f t="shared" si="22"/>
        <v>7077.074482579661</v>
      </c>
    </row>
    <row r="23" spans="2:20" s="109" customFormat="1" ht="14.5">
      <c r="B23" s="271">
        <v>2.8</v>
      </c>
      <c r="C23" s="274" t="s">
        <v>186</v>
      </c>
      <c r="D23" s="254">
        <v>1000000</v>
      </c>
      <c r="E23" s="232">
        <v>1</v>
      </c>
      <c r="F23" s="239">
        <f>D23*E23</f>
        <v>1000000</v>
      </c>
      <c r="G23" s="195">
        <v>0</v>
      </c>
      <c r="H23" s="290">
        <f t="shared" si="14"/>
        <v>1000000</v>
      </c>
      <c r="I23" s="239">
        <v>0</v>
      </c>
      <c r="J23" s="195">
        <v>0</v>
      </c>
      <c r="K23" s="290">
        <f t="shared" si="15"/>
        <v>0</v>
      </c>
      <c r="L23" s="242">
        <f t="shared" si="16"/>
        <v>1000000</v>
      </c>
      <c r="M23" s="201">
        <f t="shared" si="16"/>
        <v>0</v>
      </c>
      <c r="N23" s="243">
        <f t="shared" si="17"/>
        <v>1000000</v>
      </c>
      <c r="P23" s="206">
        <f t="shared" si="19"/>
        <v>1000000</v>
      </c>
      <c r="Q23" s="108">
        <v>1</v>
      </c>
      <c r="R23" s="206">
        <f t="shared" si="20"/>
        <v>1000000</v>
      </c>
      <c r="S23" s="206">
        <f t="shared" si="21"/>
        <v>3024.390804521222</v>
      </c>
      <c r="T23" s="203">
        <f t="shared" si="22"/>
        <v>3024.390804521222</v>
      </c>
    </row>
    <row r="24" spans="2:20" ht="15" thickBot="1">
      <c r="B24" s="269"/>
      <c r="C24" s="282" t="s">
        <v>84</v>
      </c>
      <c r="D24" s="255"/>
      <c r="E24" s="230"/>
      <c r="F24" s="241">
        <f>SUM(F16:F23)</f>
        <v>34120000</v>
      </c>
      <c r="G24" s="212">
        <f t="shared" ref="G24:M24" si="24">SUM(G16:G23)</f>
        <v>0</v>
      </c>
      <c r="H24" s="213">
        <f t="shared" si="24"/>
        <v>34120000</v>
      </c>
      <c r="I24" s="241">
        <f>SUM(I16:I23)</f>
        <v>24288000</v>
      </c>
      <c r="J24" s="212">
        <f t="shared" si="24"/>
        <v>0</v>
      </c>
      <c r="K24" s="213">
        <f t="shared" si="24"/>
        <v>24288000</v>
      </c>
      <c r="L24" s="238">
        <f t="shared" si="24"/>
        <v>58408000</v>
      </c>
      <c r="M24" s="210">
        <f t="shared" si="24"/>
        <v>0</v>
      </c>
      <c r="N24" s="244">
        <f t="shared" si="17"/>
        <v>58408000</v>
      </c>
      <c r="P24" s="209">
        <f>SUM(P16:P23)</f>
        <v>58408000</v>
      </c>
      <c r="Q24" s="209">
        <f t="shared" ref="Q24:S24" si="25">SUM(Q16:Q23)</f>
        <v>176</v>
      </c>
      <c r="R24" s="209">
        <f t="shared" si="25"/>
        <v>11287000</v>
      </c>
      <c r="S24" s="209">
        <f t="shared" si="25"/>
        <v>34136.299010631039</v>
      </c>
    </row>
    <row r="25" spans="2:20" s="219" customFormat="1" ht="19" thickBot="1">
      <c r="B25" s="312"/>
      <c r="C25" s="313" t="s">
        <v>194</v>
      </c>
      <c r="D25" s="252"/>
      <c r="E25" s="227"/>
      <c r="F25" s="301"/>
      <c r="G25" s="302"/>
      <c r="H25" s="303"/>
      <c r="I25" s="301"/>
      <c r="J25" s="302"/>
      <c r="K25" s="303"/>
      <c r="L25" s="304">
        <f>L33/L59</f>
        <v>0.30592321762404817</v>
      </c>
      <c r="M25" s="305"/>
      <c r="N25" s="306"/>
      <c r="P25" s="220"/>
      <c r="Q25" s="218"/>
      <c r="R25" s="218"/>
      <c r="S25" s="221"/>
      <c r="T25" s="222"/>
    </row>
    <row r="26" spans="2:20" s="109" customFormat="1" ht="87">
      <c r="B26" s="271">
        <v>3.1</v>
      </c>
      <c r="C26" s="274" t="s">
        <v>192</v>
      </c>
      <c r="D26" s="257">
        <v>80</v>
      </c>
      <c r="E26" s="232">
        <v>250000</v>
      </c>
      <c r="F26" s="239">
        <f>D26*E26</f>
        <v>20000000</v>
      </c>
      <c r="G26" s="195">
        <v>0</v>
      </c>
      <c r="H26" s="290">
        <f t="shared" ref="H26:H32" si="26">F26+G26</f>
        <v>20000000</v>
      </c>
      <c r="I26" s="239">
        <f>F26*1.1</f>
        <v>22000000</v>
      </c>
      <c r="J26" s="195">
        <v>0</v>
      </c>
      <c r="K26" s="290">
        <f t="shared" ref="K26:K32" si="27">I26+J26</f>
        <v>22000000</v>
      </c>
      <c r="L26" s="242">
        <f t="shared" ref="L26:L32" si="28">F26+I26</f>
        <v>42000000</v>
      </c>
      <c r="M26" s="201">
        <f>G26+J26</f>
        <v>0</v>
      </c>
      <c r="N26" s="243">
        <f t="shared" ref="N26:N33" si="29">L26+M26</f>
        <v>42000000</v>
      </c>
      <c r="P26" s="206">
        <f>L26</f>
        <v>42000000</v>
      </c>
      <c r="Q26" s="206">
        <f>E26*2</f>
        <v>500000</v>
      </c>
      <c r="R26" s="206">
        <f>P26/Q26</f>
        <v>84</v>
      </c>
      <c r="S26" s="208">
        <f>R26/$U$2</f>
        <v>0.25404882757978264</v>
      </c>
      <c r="T26" s="203">
        <f t="shared" ref="T26:T32" si="30">Q26*S26</f>
        <v>127024.41378989132</v>
      </c>
    </row>
    <row r="27" spans="2:20" s="109" customFormat="1" ht="43.5">
      <c r="B27" s="271">
        <v>3.2</v>
      </c>
      <c r="C27" s="275" t="s">
        <v>193</v>
      </c>
      <c r="D27" s="254">
        <v>15500</v>
      </c>
      <c r="E27" s="229">
        <v>250</v>
      </c>
      <c r="F27" s="237">
        <f t="shared" ref="F27" si="31">D27*E27</f>
        <v>3875000</v>
      </c>
      <c r="G27" s="195">
        <v>0</v>
      </c>
      <c r="H27" s="290">
        <f t="shared" si="26"/>
        <v>3875000</v>
      </c>
      <c r="I27" s="237">
        <f t="shared" ref="I27:I32" si="32">F27*1.1</f>
        <v>4262500</v>
      </c>
      <c r="J27" s="195">
        <v>0</v>
      </c>
      <c r="K27" s="290">
        <f t="shared" si="27"/>
        <v>4262500</v>
      </c>
      <c r="L27" s="242">
        <f t="shared" si="28"/>
        <v>8137500</v>
      </c>
      <c r="M27" s="201">
        <f t="shared" ref="M27:M32" si="33">G27+J27</f>
        <v>0</v>
      </c>
      <c r="N27" s="243">
        <f t="shared" si="29"/>
        <v>8137500</v>
      </c>
      <c r="P27" s="206">
        <f t="shared" ref="P27:P32" si="34">L27</f>
        <v>8137500</v>
      </c>
      <c r="Q27" s="206">
        <f t="shared" ref="Q27:Q32" si="35">E27*2</f>
        <v>500</v>
      </c>
      <c r="R27" s="206">
        <f t="shared" ref="R27:R28" si="36">P27/Q27</f>
        <v>16275</v>
      </c>
      <c r="S27" s="206">
        <f>R27/$U$2</f>
        <v>49.221960343582893</v>
      </c>
      <c r="T27" s="203">
        <f t="shared" si="30"/>
        <v>24610.980171791445</v>
      </c>
    </row>
    <row r="28" spans="2:20" s="109" customFormat="1" ht="72.5">
      <c r="B28" s="271">
        <v>3.3</v>
      </c>
      <c r="C28" s="275" t="s">
        <v>195</v>
      </c>
      <c r="D28" s="254">
        <v>80</v>
      </c>
      <c r="E28" s="229">
        <v>100000</v>
      </c>
      <c r="F28" s="237">
        <f>D28*E28</f>
        <v>8000000</v>
      </c>
      <c r="G28" s="195">
        <v>0</v>
      </c>
      <c r="H28" s="290">
        <f t="shared" si="26"/>
        <v>8000000</v>
      </c>
      <c r="I28" s="237">
        <f t="shared" si="32"/>
        <v>8800000</v>
      </c>
      <c r="J28" s="195">
        <v>0</v>
      </c>
      <c r="K28" s="290">
        <f t="shared" si="27"/>
        <v>8800000</v>
      </c>
      <c r="L28" s="242">
        <f t="shared" si="28"/>
        <v>16800000</v>
      </c>
      <c r="M28" s="201">
        <f t="shared" si="33"/>
        <v>0</v>
      </c>
      <c r="N28" s="243">
        <f t="shared" si="29"/>
        <v>16800000</v>
      </c>
      <c r="P28" s="206">
        <f t="shared" si="34"/>
        <v>16800000</v>
      </c>
      <c r="Q28" s="206">
        <f t="shared" si="35"/>
        <v>200000</v>
      </c>
      <c r="R28" s="206">
        <f t="shared" si="36"/>
        <v>84</v>
      </c>
      <c r="S28" s="208">
        <f>R28/$U$2</f>
        <v>0.25404882757978264</v>
      </c>
      <c r="T28" s="203">
        <f t="shared" si="30"/>
        <v>50809.765515956526</v>
      </c>
    </row>
    <row r="29" spans="2:20" s="109" customFormat="1" ht="14.5">
      <c r="B29" s="271">
        <v>3.4</v>
      </c>
      <c r="C29" s="274" t="s">
        <v>224</v>
      </c>
      <c r="D29" s="257">
        <v>1500000</v>
      </c>
      <c r="E29" s="232">
        <v>1</v>
      </c>
      <c r="F29" s="237">
        <f>D29*E29</f>
        <v>1500000</v>
      </c>
      <c r="G29" s="195">
        <v>0</v>
      </c>
      <c r="H29" s="290">
        <f t="shared" si="26"/>
        <v>1500000</v>
      </c>
      <c r="I29" s="239">
        <f t="shared" si="32"/>
        <v>1650000.0000000002</v>
      </c>
      <c r="J29" s="195">
        <v>0</v>
      </c>
      <c r="K29" s="290">
        <f t="shared" si="27"/>
        <v>1650000.0000000002</v>
      </c>
      <c r="L29" s="242">
        <f t="shared" si="28"/>
        <v>3150000</v>
      </c>
      <c r="M29" s="201">
        <f t="shared" si="33"/>
        <v>0</v>
      </c>
      <c r="N29" s="243">
        <f t="shared" si="29"/>
        <v>3150000</v>
      </c>
      <c r="P29" s="206">
        <f t="shared" si="34"/>
        <v>3150000</v>
      </c>
      <c r="Q29" s="206">
        <f t="shared" si="35"/>
        <v>2</v>
      </c>
      <c r="R29" s="206">
        <f t="shared" ref="R29" si="37">P29/Q29</f>
        <v>1575000</v>
      </c>
      <c r="S29" s="208">
        <f>R29/$U$2</f>
        <v>4763.415517120925</v>
      </c>
      <c r="T29" s="203">
        <f t="shared" si="30"/>
        <v>9526.8310342418499</v>
      </c>
    </row>
    <row r="30" spans="2:20" s="109" customFormat="1" ht="14.5">
      <c r="B30" s="271"/>
      <c r="C30" s="274"/>
      <c r="D30" s="257"/>
      <c r="E30" s="232"/>
      <c r="F30" s="239"/>
      <c r="G30" s="195">
        <v>0</v>
      </c>
      <c r="H30" s="290">
        <f t="shared" si="26"/>
        <v>0</v>
      </c>
      <c r="I30" s="239">
        <f t="shared" si="32"/>
        <v>0</v>
      </c>
      <c r="J30" s="195">
        <v>0</v>
      </c>
      <c r="K30" s="290">
        <f t="shared" si="27"/>
        <v>0</v>
      </c>
      <c r="L30" s="242">
        <f t="shared" si="28"/>
        <v>0</v>
      </c>
      <c r="M30" s="201">
        <f t="shared" si="33"/>
        <v>0</v>
      </c>
      <c r="N30" s="243">
        <f t="shared" si="29"/>
        <v>0</v>
      </c>
      <c r="P30" s="206">
        <f t="shared" si="34"/>
        <v>0</v>
      </c>
      <c r="Q30" s="206">
        <f t="shared" si="35"/>
        <v>0</v>
      </c>
      <c r="R30" s="206"/>
      <c r="S30" s="206"/>
      <c r="T30" s="203">
        <f t="shared" si="30"/>
        <v>0</v>
      </c>
    </row>
    <row r="31" spans="2:20" s="109" customFormat="1" ht="14.5">
      <c r="B31" s="271"/>
      <c r="C31" s="274"/>
      <c r="D31" s="257"/>
      <c r="E31" s="232"/>
      <c r="F31" s="239"/>
      <c r="G31" s="195">
        <v>0</v>
      </c>
      <c r="H31" s="290">
        <f t="shared" si="26"/>
        <v>0</v>
      </c>
      <c r="I31" s="239">
        <f t="shared" si="32"/>
        <v>0</v>
      </c>
      <c r="J31" s="195">
        <v>0</v>
      </c>
      <c r="K31" s="290">
        <f t="shared" si="27"/>
        <v>0</v>
      </c>
      <c r="L31" s="242">
        <f t="shared" si="28"/>
        <v>0</v>
      </c>
      <c r="M31" s="201">
        <f t="shared" si="33"/>
        <v>0</v>
      </c>
      <c r="N31" s="243">
        <f t="shared" si="29"/>
        <v>0</v>
      </c>
      <c r="P31" s="206">
        <f t="shared" si="34"/>
        <v>0</v>
      </c>
      <c r="Q31" s="206">
        <f t="shared" si="35"/>
        <v>0</v>
      </c>
      <c r="R31" s="206"/>
      <c r="S31" s="206"/>
      <c r="T31" s="203">
        <f t="shared" si="30"/>
        <v>0</v>
      </c>
    </row>
    <row r="32" spans="2:20" s="109" customFormat="1" ht="14.5">
      <c r="B32" s="271"/>
      <c r="C32" s="274"/>
      <c r="D32" s="257"/>
      <c r="E32" s="232"/>
      <c r="F32" s="239"/>
      <c r="G32" s="195">
        <v>0</v>
      </c>
      <c r="H32" s="290">
        <f t="shared" si="26"/>
        <v>0</v>
      </c>
      <c r="I32" s="239">
        <f t="shared" si="32"/>
        <v>0</v>
      </c>
      <c r="J32" s="195">
        <v>0</v>
      </c>
      <c r="K32" s="290">
        <f t="shared" si="27"/>
        <v>0</v>
      </c>
      <c r="L32" s="242">
        <f t="shared" si="28"/>
        <v>0</v>
      </c>
      <c r="M32" s="201">
        <f t="shared" si="33"/>
        <v>0</v>
      </c>
      <c r="N32" s="243">
        <f t="shared" si="29"/>
        <v>0</v>
      </c>
      <c r="P32" s="206">
        <f t="shared" si="34"/>
        <v>0</v>
      </c>
      <c r="Q32" s="206">
        <f t="shared" si="35"/>
        <v>0</v>
      </c>
      <c r="R32" s="206"/>
      <c r="S32" s="206"/>
      <c r="T32" s="203">
        <f t="shared" si="30"/>
        <v>0</v>
      </c>
    </row>
    <row r="33" spans="2:21" ht="15" thickBot="1">
      <c r="B33" s="269"/>
      <c r="C33" s="282" t="s">
        <v>81</v>
      </c>
      <c r="D33" s="255"/>
      <c r="E33" s="230"/>
      <c r="F33" s="241">
        <f>SUM(F26:F32)</f>
        <v>33375000</v>
      </c>
      <c r="G33" s="212">
        <f t="shared" ref="G33:M33" si="38">SUM(G26:G32)</f>
        <v>0</v>
      </c>
      <c r="H33" s="213">
        <f t="shared" si="38"/>
        <v>33375000</v>
      </c>
      <c r="I33" s="241">
        <f t="shared" si="38"/>
        <v>36712500</v>
      </c>
      <c r="J33" s="212">
        <f t="shared" si="38"/>
        <v>0</v>
      </c>
      <c r="K33" s="213">
        <f t="shared" si="38"/>
        <v>36712500</v>
      </c>
      <c r="L33" s="238">
        <f t="shared" si="38"/>
        <v>70087500</v>
      </c>
      <c r="M33" s="210">
        <f t="shared" si="38"/>
        <v>0</v>
      </c>
      <c r="N33" s="244">
        <f t="shared" si="29"/>
        <v>70087500</v>
      </c>
      <c r="P33" s="209">
        <f t="shared" ref="P33" si="39">SUM(P26:P32)</f>
        <v>70087500</v>
      </c>
      <c r="Q33" s="209">
        <f t="shared" ref="Q33" si="40">SUM(Q26:Q32)</f>
        <v>700502</v>
      </c>
      <c r="R33" s="209">
        <f t="shared" ref="R33" si="41">SUM(R26:R32)</f>
        <v>1591443</v>
      </c>
      <c r="S33" s="209">
        <f t="shared" ref="S33" si="42">SUM(S26:S32)</f>
        <v>4813.1455751196672</v>
      </c>
    </row>
    <row r="34" spans="2:21" s="219" customFormat="1" ht="19" thickBot="1">
      <c r="B34" s="312"/>
      <c r="C34" s="313" t="s">
        <v>196</v>
      </c>
      <c r="D34" s="252"/>
      <c r="E34" s="227"/>
      <c r="F34" s="301"/>
      <c r="G34" s="302"/>
      <c r="H34" s="303"/>
      <c r="I34" s="301"/>
      <c r="J34" s="302"/>
      <c r="K34" s="303"/>
      <c r="L34" s="304">
        <f>L42/L59</f>
        <v>5.7105896445790588E-2</v>
      </c>
      <c r="M34" s="305"/>
      <c r="N34" s="306"/>
      <c r="P34" s="220"/>
      <c r="Q34" s="218"/>
      <c r="R34" s="218"/>
      <c r="S34" s="221"/>
      <c r="T34" s="222"/>
    </row>
    <row r="35" spans="2:21" ht="72.5">
      <c r="B35" s="271">
        <v>4.0999999999999996</v>
      </c>
      <c r="C35" s="275" t="s">
        <v>197</v>
      </c>
      <c r="D35" s="254">
        <v>350</v>
      </c>
      <c r="E35" s="229">
        <v>10000</v>
      </c>
      <c r="F35" s="237">
        <f>D35*E35</f>
        <v>3500000</v>
      </c>
      <c r="G35" s="195">
        <v>0</v>
      </c>
      <c r="H35" s="290">
        <f t="shared" ref="H35:H41" si="43">F35+G35</f>
        <v>3500000</v>
      </c>
      <c r="I35" s="237">
        <f>F35*1.1</f>
        <v>3850000.0000000005</v>
      </c>
      <c r="J35" s="195">
        <v>0</v>
      </c>
      <c r="K35" s="290">
        <f t="shared" ref="K35:K41" si="44">I35+J35</f>
        <v>3850000.0000000005</v>
      </c>
      <c r="L35" s="242">
        <f t="shared" ref="L35" si="45">F35+I35</f>
        <v>7350000</v>
      </c>
      <c r="M35" s="201">
        <f>G35+J35</f>
        <v>0</v>
      </c>
      <c r="N35" s="243">
        <f t="shared" ref="N35:N42" si="46">L35+M35</f>
        <v>7350000</v>
      </c>
      <c r="O35" s="109"/>
      <c r="P35" s="206">
        <f>L35</f>
        <v>7350000</v>
      </c>
      <c r="Q35" s="206">
        <f>E35*2</f>
        <v>20000</v>
      </c>
      <c r="R35" s="206">
        <f>P35/Q35</f>
        <v>367.5</v>
      </c>
      <c r="S35" s="208">
        <f>R35/$U$2</f>
        <v>1.1114636206615491</v>
      </c>
      <c r="T35" s="203">
        <f t="shared" ref="T35" si="47">Q35*S35</f>
        <v>22229.272413230981</v>
      </c>
    </row>
    <row r="36" spans="2:21" ht="29">
      <c r="B36" s="271">
        <v>4.2</v>
      </c>
      <c r="C36" s="275" t="s">
        <v>198</v>
      </c>
      <c r="D36" s="254">
        <v>13067</v>
      </c>
      <c r="E36" s="229">
        <v>75</v>
      </c>
      <c r="F36" s="237">
        <f>D36*E36</f>
        <v>980025</v>
      </c>
      <c r="G36" s="195">
        <v>0</v>
      </c>
      <c r="H36" s="290">
        <f t="shared" si="43"/>
        <v>980025</v>
      </c>
      <c r="I36" s="237">
        <f t="shared" ref="I36:I37" si="48">F36*1.1</f>
        <v>1078027.5</v>
      </c>
      <c r="J36" s="195">
        <v>0</v>
      </c>
      <c r="K36" s="290">
        <f t="shared" si="44"/>
        <v>1078027.5</v>
      </c>
      <c r="L36" s="242">
        <f t="shared" ref="L36:L37" si="49">F36+I36</f>
        <v>2058052.5</v>
      </c>
      <c r="M36" s="201">
        <f t="shared" ref="M36:M37" si="50">G36+J36</f>
        <v>0</v>
      </c>
      <c r="N36" s="243">
        <f t="shared" si="46"/>
        <v>2058052.5</v>
      </c>
      <c r="O36" s="109"/>
      <c r="P36" s="206">
        <f t="shared" ref="P36:P37" si="51">L36</f>
        <v>2058052.5</v>
      </c>
      <c r="Q36" s="206">
        <f t="shared" ref="Q36:Q37" si="52">E36*2</f>
        <v>150</v>
      </c>
      <c r="R36" s="206">
        <f t="shared" ref="R36:R37" si="53">P36/Q36</f>
        <v>13720.35</v>
      </c>
      <c r="S36" s="208">
        <f t="shared" ref="S36:S37" si="54">R36/$U$2</f>
        <v>41.495700374812749</v>
      </c>
      <c r="T36" s="203">
        <f t="shared" ref="T36:T37" si="55">Q36*S36</f>
        <v>6224.3550562219125</v>
      </c>
    </row>
    <row r="37" spans="2:21" ht="58">
      <c r="B37" s="271">
        <v>4.3</v>
      </c>
      <c r="C37" s="275" t="s">
        <v>199</v>
      </c>
      <c r="D37" s="254">
        <v>350</v>
      </c>
      <c r="E37" s="229">
        <v>5000</v>
      </c>
      <c r="F37" s="237">
        <f>D37*E37</f>
        <v>1750000</v>
      </c>
      <c r="G37" s="195">
        <v>0</v>
      </c>
      <c r="H37" s="290">
        <f t="shared" si="43"/>
        <v>1750000</v>
      </c>
      <c r="I37" s="237">
        <f t="shared" si="48"/>
        <v>1925000.0000000002</v>
      </c>
      <c r="J37" s="195">
        <v>0</v>
      </c>
      <c r="K37" s="290">
        <f t="shared" si="44"/>
        <v>1925000.0000000002</v>
      </c>
      <c r="L37" s="242">
        <f t="shared" si="49"/>
        <v>3675000</v>
      </c>
      <c r="M37" s="201">
        <f t="shared" si="50"/>
        <v>0</v>
      </c>
      <c r="N37" s="243">
        <f t="shared" si="46"/>
        <v>3675000</v>
      </c>
      <c r="O37" s="109"/>
      <c r="P37" s="206">
        <f t="shared" si="51"/>
        <v>3675000</v>
      </c>
      <c r="Q37" s="206">
        <f t="shared" si="52"/>
        <v>10000</v>
      </c>
      <c r="R37" s="206">
        <f t="shared" si="53"/>
        <v>367.5</v>
      </c>
      <c r="S37" s="208">
        <f t="shared" si="54"/>
        <v>1.1114636206615491</v>
      </c>
      <c r="T37" s="203">
        <f t="shared" si="55"/>
        <v>11114.636206615491</v>
      </c>
    </row>
    <row r="38" spans="2:21" ht="14.5" hidden="1">
      <c r="B38" s="271"/>
      <c r="C38" s="276"/>
      <c r="D38" s="259"/>
      <c r="E38" s="233"/>
      <c r="F38" s="240"/>
      <c r="G38" s="194"/>
      <c r="H38" s="290">
        <f t="shared" si="43"/>
        <v>0</v>
      </c>
      <c r="I38" s="240"/>
      <c r="J38" s="194"/>
      <c r="K38" s="290">
        <f t="shared" si="44"/>
        <v>0</v>
      </c>
      <c r="L38" s="247"/>
      <c r="M38" s="199"/>
      <c r="N38" s="248">
        <f t="shared" si="46"/>
        <v>0</v>
      </c>
      <c r="P38" s="202"/>
      <c r="Q38" s="202"/>
      <c r="R38" s="202"/>
      <c r="S38" s="202"/>
    </row>
    <row r="39" spans="2:21" ht="14.5" hidden="1">
      <c r="B39" s="271"/>
      <c r="C39" s="276"/>
      <c r="D39" s="259"/>
      <c r="E39" s="233"/>
      <c r="F39" s="240"/>
      <c r="G39" s="194"/>
      <c r="H39" s="290">
        <f t="shared" si="43"/>
        <v>0</v>
      </c>
      <c r="I39" s="240"/>
      <c r="J39" s="194"/>
      <c r="K39" s="290">
        <f t="shared" si="44"/>
        <v>0</v>
      </c>
      <c r="L39" s="247"/>
      <c r="M39" s="199"/>
      <c r="N39" s="248">
        <f t="shared" si="46"/>
        <v>0</v>
      </c>
      <c r="P39" s="202"/>
      <c r="Q39" s="202"/>
      <c r="R39" s="202"/>
      <c r="S39" s="202"/>
    </row>
    <row r="40" spans="2:21" s="109" customFormat="1" ht="14.5" hidden="1">
      <c r="B40" s="277"/>
      <c r="C40" s="274"/>
      <c r="D40" s="258"/>
      <c r="E40" s="232"/>
      <c r="F40" s="239"/>
      <c r="G40" s="195"/>
      <c r="H40" s="290">
        <f t="shared" si="43"/>
        <v>0</v>
      </c>
      <c r="I40" s="239"/>
      <c r="J40" s="195"/>
      <c r="K40" s="290">
        <f t="shared" si="44"/>
        <v>0</v>
      </c>
      <c r="L40" s="249"/>
      <c r="M40" s="200"/>
      <c r="N40" s="250">
        <f t="shared" si="46"/>
        <v>0</v>
      </c>
      <c r="P40" s="108"/>
      <c r="Q40" s="108"/>
      <c r="R40" s="108"/>
      <c r="S40" s="108"/>
      <c r="T40" s="203"/>
    </row>
    <row r="41" spans="2:21" s="109" customFormat="1" ht="14.5" hidden="1">
      <c r="B41" s="277"/>
      <c r="C41" s="274"/>
      <c r="D41" s="254"/>
      <c r="E41" s="232"/>
      <c r="F41" s="239"/>
      <c r="G41" s="195"/>
      <c r="H41" s="290">
        <f t="shared" si="43"/>
        <v>0</v>
      </c>
      <c r="I41" s="239"/>
      <c r="J41" s="195"/>
      <c r="K41" s="290">
        <f t="shared" si="44"/>
        <v>0</v>
      </c>
      <c r="L41" s="249"/>
      <c r="M41" s="200"/>
      <c r="N41" s="250">
        <f t="shared" si="46"/>
        <v>0</v>
      </c>
      <c r="P41" s="108"/>
      <c r="Q41" s="108"/>
      <c r="R41" s="108"/>
      <c r="S41" s="108"/>
      <c r="T41" s="203"/>
    </row>
    <row r="42" spans="2:21" ht="15" thickBot="1">
      <c r="B42" s="269"/>
      <c r="C42" s="282" t="s">
        <v>81</v>
      </c>
      <c r="D42" s="255"/>
      <c r="E42" s="230"/>
      <c r="F42" s="241">
        <f>SUM(F35:F41)</f>
        <v>6230025</v>
      </c>
      <c r="G42" s="212">
        <f t="shared" ref="G42:M42" si="56">SUM(G35:G41)</f>
        <v>0</v>
      </c>
      <c r="H42" s="213">
        <f t="shared" si="56"/>
        <v>6230025</v>
      </c>
      <c r="I42" s="241">
        <f t="shared" si="56"/>
        <v>6853027.5</v>
      </c>
      <c r="J42" s="241">
        <f t="shared" ref="J42" si="57">SUM(J35:J41)</f>
        <v>0</v>
      </c>
      <c r="K42" s="299">
        <f t="shared" ref="K42" si="58">SUM(K35:K41)</f>
        <v>6853027.5</v>
      </c>
      <c r="L42" s="238">
        <f t="shared" si="56"/>
        <v>13083052.5</v>
      </c>
      <c r="M42" s="210">
        <f t="shared" si="56"/>
        <v>0</v>
      </c>
      <c r="N42" s="244">
        <f t="shared" si="46"/>
        <v>13083052.5</v>
      </c>
      <c r="P42" s="209">
        <f t="shared" ref="P42" si="59">SUM(P35:P41)</f>
        <v>13083052.5</v>
      </c>
      <c r="Q42" s="209">
        <f t="shared" ref="Q42" si="60">SUM(Q35:Q41)</f>
        <v>30150</v>
      </c>
      <c r="R42" s="209">
        <f t="shared" ref="R42" si="61">SUM(R35:R41)</f>
        <v>14455.35</v>
      </c>
      <c r="S42" s="209">
        <f t="shared" ref="S42" si="62">SUM(S35:S41)</f>
        <v>43.718627616135841</v>
      </c>
    </row>
    <row r="43" spans="2:21" s="219" customFormat="1" ht="19" thickBot="1">
      <c r="B43" s="312"/>
      <c r="C43" s="313" t="s">
        <v>200</v>
      </c>
      <c r="D43" s="252"/>
      <c r="E43" s="227"/>
      <c r="F43" s="301"/>
      <c r="G43" s="302"/>
      <c r="H43" s="303"/>
      <c r="I43" s="301"/>
      <c r="J43" s="302"/>
      <c r="K43" s="303"/>
      <c r="L43" s="304">
        <f>L49/L59</f>
        <v>6.187211142958278E-2</v>
      </c>
      <c r="M43" s="305"/>
      <c r="N43" s="306"/>
      <c r="P43" s="220"/>
      <c r="Q43" s="218"/>
      <c r="R43" s="218"/>
      <c r="S43" s="221"/>
      <c r="T43" s="222"/>
    </row>
    <row r="44" spans="2:21" s="109" customFormat="1" ht="29">
      <c r="B44" s="262">
        <v>5.0999999999999996</v>
      </c>
      <c r="C44" s="275" t="s">
        <v>201</v>
      </c>
      <c r="D44" s="254">
        <v>5000</v>
      </c>
      <c r="E44" s="229">
        <v>400</v>
      </c>
      <c r="F44" s="237">
        <f>D44*E44</f>
        <v>2000000</v>
      </c>
      <c r="G44" s="195">
        <v>0</v>
      </c>
      <c r="H44" s="290">
        <f t="shared" ref="H44:H48" si="63">F44+G44</f>
        <v>2000000</v>
      </c>
      <c r="I44" s="237">
        <f t="shared" ref="I44:I46" si="64">F44*1.1</f>
        <v>2200000</v>
      </c>
      <c r="J44" s="195">
        <v>0</v>
      </c>
      <c r="K44" s="290">
        <f t="shared" ref="K44:K48" si="65">I44+J44</f>
        <v>2200000</v>
      </c>
      <c r="L44" s="242">
        <f t="shared" ref="L44:L46" si="66">F44+I44</f>
        <v>4200000</v>
      </c>
      <c r="M44" s="201">
        <f t="shared" ref="M44:M46" si="67">G44+J44</f>
        <v>0</v>
      </c>
      <c r="N44" s="243">
        <f t="shared" ref="N44:N49" si="68">L44+M44</f>
        <v>4200000</v>
      </c>
      <c r="P44" s="206">
        <f t="shared" ref="P44:P46" si="69">L44</f>
        <v>4200000</v>
      </c>
      <c r="Q44" s="206">
        <f t="shared" ref="Q44:Q46" si="70">E44*2</f>
        <v>800</v>
      </c>
      <c r="R44" s="206">
        <f t="shared" ref="R44:R46" si="71">P44/Q44</f>
        <v>5250</v>
      </c>
      <c r="S44" s="208">
        <f t="shared" ref="S44:S46" si="72">R44/$U$2</f>
        <v>15.878051723736416</v>
      </c>
      <c r="T44" s="203">
        <f t="shared" ref="T44:T46" si="73">Q44*S44</f>
        <v>12702.441378989133</v>
      </c>
    </row>
    <row r="45" spans="2:21" s="109" customFormat="1" ht="14.5">
      <c r="B45" s="278">
        <v>5.2</v>
      </c>
      <c r="C45" s="279" t="s">
        <v>202</v>
      </c>
      <c r="D45" s="254">
        <v>20000</v>
      </c>
      <c r="E45" s="229">
        <v>200</v>
      </c>
      <c r="F45" s="237">
        <f>D45*E45</f>
        <v>4000000</v>
      </c>
      <c r="G45" s="195">
        <v>0</v>
      </c>
      <c r="H45" s="290">
        <f t="shared" si="63"/>
        <v>4000000</v>
      </c>
      <c r="I45" s="237">
        <f t="shared" si="64"/>
        <v>4400000</v>
      </c>
      <c r="J45" s="195">
        <v>0</v>
      </c>
      <c r="K45" s="290">
        <f t="shared" si="65"/>
        <v>4400000</v>
      </c>
      <c r="L45" s="242">
        <f t="shared" si="66"/>
        <v>8400000</v>
      </c>
      <c r="M45" s="201">
        <f t="shared" si="67"/>
        <v>0</v>
      </c>
      <c r="N45" s="243">
        <f t="shared" si="68"/>
        <v>8400000</v>
      </c>
      <c r="P45" s="206">
        <f t="shared" si="69"/>
        <v>8400000</v>
      </c>
      <c r="Q45" s="206">
        <f t="shared" si="70"/>
        <v>400</v>
      </c>
      <c r="R45" s="206">
        <f t="shared" si="71"/>
        <v>21000</v>
      </c>
      <c r="S45" s="208">
        <f t="shared" si="72"/>
        <v>63.512206894945663</v>
      </c>
      <c r="T45" s="203">
        <f t="shared" si="73"/>
        <v>25404.882757978266</v>
      </c>
    </row>
    <row r="46" spans="2:21" s="109" customFormat="1" ht="29">
      <c r="B46" s="280">
        <v>5.3</v>
      </c>
      <c r="C46" s="275" t="s">
        <v>203</v>
      </c>
      <c r="D46" s="254">
        <v>150000</v>
      </c>
      <c r="E46" s="229">
        <v>5</v>
      </c>
      <c r="F46" s="237">
        <f t="shared" ref="F46" si="74">D46*E46</f>
        <v>750000</v>
      </c>
      <c r="G46" s="195">
        <v>0</v>
      </c>
      <c r="H46" s="290">
        <f t="shared" si="63"/>
        <v>750000</v>
      </c>
      <c r="I46" s="237">
        <f t="shared" si="64"/>
        <v>825000.00000000012</v>
      </c>
      <c r="J46" s="195">
        <v>0</v>
      </c>
      <c r="K46" s="290">
        <f t="shared" si="65"/>
        <v>825000.00000000012</v>
      </c>
      <c r="L46" s="242">
        <f t="shared" si="66"/>
        <v>1575000</v>
      </c>
      <c r="M46" s="201">
        <f t="shared" si="67"/>
        <v>0</v>
      </c>
      <c r="N46" s="243">
        <f t="shared" si="68"/>
        <v>1575000</v>
      </c>
      <c r="P46" s="206">
        <f t="shared" si="69"/>
        <v>1575000</v>
      </c>
      <c r="Q46" s="206">
        <f t="shared" si="70"/>
        <v>10</v>
      </c>
      <c r="R46" s="206">
        <f t="shared" si="71"/>
        <v>157500</v>
      </c>
      <c r="S46" s="208">
        <f t="shared" si="72"/>
        <v>476.3415517120925</v>
      </c>
      <c r="T46" s="203">
        <f t="shared" si="73"/>
        <v>4763.415517120925</v>
      </c>
      <c r="U46" s="182"/>
    </row>
    <row r="47" spans="2:21" s="109" customFormat="1" ht="14.5" hidden="1">
      <c r="B47" s="280"/>
      <c r="C47" s="275"/>
      <c r="D47" s="254"/>
      <c r="E47" s="229"/>
      <c r="F47" s="237"/>
      <c r="G47" s="196"/>
      <c r="H47" s="290">
        <f t="shared" si="63"/>
        <v>0</v>
      </c>
      <c r="I47" s="237"/>
      <c r="J47" s="196"/>
      <c r="K47" s="290">
        <f t="shared" si="65"/>
        <v>0</v>
      </c>
      <c r="L47" s="242"/>
      <c r="M47" s="201"/>
      <c r="N47" s="243">
        <f t="shared" si="68"/>
        <v>0</v>
      </c>
      <c r="P47" s="115"/>
      <c r="Q47" s="115"/>
      <c r="R47" s="115"/>
      <c r="S47" s="115"/>
      <c r="T47" s="203"/>
    </row>
    <row r="48" spans="2:21" s="109" customFormat="1" ht="14.5" hidden="1">
      <c r="B48" s="280"/>
      <c r="C48" s="275"/>
      <c r="D48" s="254"/>
      <c r="E48" s="229"/>
      <c r="F48" s="237"/>
      <c r="G48" s="196"/>
      <c r="H48" s="290">
        <f t="shared" si="63"/>
        <v>0</v>
      </c>
      <c r="I48" s="237"/>
      <c r="J48" s="196"/>
      <c r="K48" s="290">
        <f t="shared" si="65"/>
        <v>0</v>
      </c>
      <c r="L48" s="242"/>
      <c r="M48" s="201"/>
      <c r="N48" s="243">
        <f t="shared" si="68"/>
        <v>0</v>
      </c>
      <c r="P48" s="115"/>
      <c r="Q48" s="115"/>
      <c r="R48" s="115"/>
      <c r="S48" s="115"/>
      <c r="T48" s="203"/>
      <c r="U48" s="182"/>
    </row>
    <row r="49" spans="2:21" ht="15" thickBot="1">
      <c r="B49" s="269"/>
      <c r="C49" s="282" t="s">
        <v>81</v>
      </c>
      <c r="D49" s="255"/>
      <c r="E49" s="230"/>
      <c r="F49" s="241">
        <f>SUM(F44:F48)</f>
        <v>6750000</v>
      </c>
      <c r="G49" s="212">
        <f t="shared" ref="G49:M49" si="75">SUM(G44:G48)</f>
        <v>0</v>
      </c>
      <c r="H49" s="213">
        <f t="shared" si="75"/>
        <v>6750000</v>
      </c>
      <c r="I49" s="241">
        <f t="shared" si="75"/>
        <v>7425000</v>
      </c>
      <c r="J49" s="212">
        <f t="shared" si="75"/>
        <v>0</v>
      </c>
      <c r="K49" s="213">
        <f t="shared" si="75"/>
        <v>7425000</v>
      </c>
      <c r="L49" s="238">
        <f t="shared" si="75"/>
        <v>14175000</v>
      </c>
      <c r="M49" s="210">
        <f t="shared" si="75"/>
        <v>0</v>
      </c>
      <c r="N49" s="244">
        <f t="shared" si="68"/>
        <v>14175000</v>
      </c>
      <c r="P49" s="209">
        <f>SUM(P44:P48)</f>
        <v>14175000</v>
      </c>
      <c r="Q49" s="209">
        <f t="shared" ref="Q49" si="76">SUM(Q44:Q48)</f>
        <v>1210</v>
      </c>
      <c r="R49" s="209">
        <f t="shared" ref="R49" si="77">SUM(R44:R48)</f>
        <v>183750</v>
      </c>
      <c r="S49" s="209">
        <f t="shared" ref="S49" si="78">SUM(S44:S48)</f>
        <v>555.73181033077458</v>
      </c>
    </row>
    <row r="50" spans="2:21" s="219" customFormat="1" ht="19" thickBot="1">
      <c r="B50" s="312"/>
      <c r="C50" s="313" t="s">
        <v>204</v>
      </c>
      <c r="D50" s="252"/>
      <c r="E50" s="227"/>
      <c r="F50" s="301"/>
      <c r="G50" s="302"/>
      <c r="H50" s="303"/>
      <c r="I50" s="301"/>
      <c r="J50" s="302"/>
      <c r="K50" s="303"/>
      <c r="L50" s="304">
        <f>L54/L59</f>
        <v>1.9641940136375487E-2</v>
      </c>
      <c r="M50" s="305"/>
      <c r="N50" s="306"/>
      <c r="P50" s="220"/>
      <c r="Q50" s="218"/>
      <c r="R50" s="218"/>
      <c r="S50" s="221"/>
      <c r="T50" s="222"/>
    </row>
    <row r="51" spans="2:21" s="109" customFormat="1" ht="43.5">
      <c r="B51" s="262">
        <v>6.1</v>
      </c>
      <c r="C51" s="275" t="s">
        <v>205</v>
      </c>
      <c r="D51" s="254">
        <v>800000</v>
      </c>
      <c r="E51" s="229">
        <v>3</v>
      </c>
      <c r="F51" s="237">
        <f t="shared" ref="F51:F52" si="79">D51*E51</f>
        <v>2400000</v>
      </c>
      <c r="G51" s="195">
        <v>0</v>
      </c>
      <c r="H51" s="290">
        <f t="shared" ref="H51:H53" si="80">F51+G51</f>
        <v>2400000</v>
      </c>
      <c r="I51" s="237">
        <v>0</v>
      </c>
      <c r="J51" s="195">
        <v>0</v>
      </c>
      <c r="K51" s="290">
        <f t="shared" ref="K51:K53" si="81">I51+J51</f>
        <v>0</v>
      </c>
      <c r="L51" s="242">
        <f>F51+I51</f>
        <v>2400000</v>
      </c>
      <c r="M51" s="201">
        <f>G51+J51</f>
        <v>0</v>
      </c>
      <c r="N51" s="243">
        <f t="shared" ref="N51:N53" si="82">L51+M51</f>
        <v>2400000</v>
      </c>
      <c r="P51" s="206">
        <f t="shared" ref="P51:P53" si="83">L51</f>
        <v>2400000</v>
      </c>
      <c r="Q51" s="206">
        <f t="shared" ref="Q51:Q53" si="84">E51*2</f>
        <v>6</v>
      </c>
      <c r="R51" s="206">
        <f t="shared" ref="R51:R52" si="85">P51/Q51</f>
        <v>400000</v>
      </c>
      <c r="S51" s="208">
        <f>R51/$U$2</f>
        <v>1209.7563218084888</v>
      </c>
      <c r="T51" s="203">
        <f t="shared" ref="T51:T53" si="86">Q51*S51</f>
        <v>7258.5379308509328</v>
      </c>
    </row>
    <row r="52" spans="2:21" s="109" customFormat="1" ht="14.5">
      <c r="B52" s="278">
        <v>6.2</v>
      </c>
      <c r="C52" s="275" t="s">
        <v>206</v>
      </c>
      <c r="D52" s="254">
        <v>1000000</v>
      </c>
      <c r="E52" s="229">
        <v>1</v>
      </c>
      <c r="F52" s="237">
        <f t="shared" si="79"/>
        <v>1000000</v>
      </c>
      <c r="G52" s="195">
        <v>0</v>
      </c>
      <c r="H52" s="290">
        <f t="shared" si="80"/>
        <v>1000000</v>
      </c>
      <c r="I52" s="237">
        <f t="shared" ref="I52:I53" si="87">F52*1.1</f>
        <v>1100000</v>
      </c>
      <c r="J52" s="195">
        <v>0</v>
      </c>
      <c r="K52" s="290">
        <f t="shared" si="81"/>
        <v>1100000</v>
      </c>
      <c r="L52" s="242">
        <f t="shared" ref="L52:L53" si="88">F52+I52</f>
        <v>2100000</v>
      </c>
      <c r="M52" s="201">
        <f t="shared" ref="M52:M53" si="89">G52+J52</f>
        <v>0</v>
      </c>
      <c r="N52" s="243">
        <f t="shared" si="82"/>
        <v>2100000</v>
      </c>
      <c r="P52" s="206">
        <f t="shared" si="83"/>
        <v>2100000</v>
      </c>
      <c r="Q52" s="206">
        <f t="shared" si="84"/>
        <v>2</v>
      </c>
      <c r="R52" s="206">
        <f t="shared" si="85"/>
        <v>1050000</v>
      </c>
      <c r="S52" s="208">
        <f>R52/$U$2</f>
        <v>3175.6103447472833</v>
      </c>
      <c r="T52" s="203">
        <f t="shared" si="86"/>
        <v>6351.2206894945666</v>
      </c>
    </row>
    <row r="53" spans="2:21" s="109" customFormat="1" ht="14.5" hidden="1">
      <c r="B53" s="280"/>
      <c r="C53" s="275"/>
      <c r="D53" s="254"/>
      <c r="E53" s="229"/>
      <c r="F53" s="237"/>
      <c r="G53" s="195">
        <v>0</v>
      </c>
      <c r="H53" s="290">
        <f t="shared" si="80"/>
        <v>0</v>
      </c>
      <c r="I53" s="237">
        <f t="shared" si="87"/>
        <v>0</v>
      </c>
      <c r="J53" s="195">
        <v>0</v>
      </c>
      <c r="K53" s="290">
        <f t="shared" si="81"/>
        <v>0</v>
      </c>
      <c r="L53" s="242">
        <f t="shared" si="88"/>
        <v>0</v>
      </c>
      <c r="M53" s="201">
        <f t="shared" si="89"/>
        <v>0</v>
      </c>
      <c r="N53" s="243">
        <f t="shared" si="82"/>
        <v>0</v>
      </c>
      <c r="P53" s="206">
        <f t="shared" si="83"/>
        <v>0</v>
      </c>
      <c r="Q53" s="206">
        <f t="shared" si="84"/>
        <v>0</v>
      </c>
      <c r="R53" s="206"/>
      <c r="S53" s="208"/>
      <c r="T53" s="203">
        <f t="shared" si="86"/>
        <v>0</v>
      </c>
      <c r="U53" s="182"/>
    </row>
    <row r="54" spans="2:21" ht="15" thickBot="1">
      <c r="B54" s="269"/>
      <c r="C54" s="282" t="s">
        <v>81</v>
      </c>
      <c r="D54" s="255"/>
      <c r="E54" s="230"/>
      <c r="F54" s="241">
        <f>SUM(F51:F53)</f>
        <v>3400000</v>
      </c>
      <c r="G54" s="212">
        <f t="shared" ref="G54:M54" si="90">SUM(G51:G53)</f>
        <v>0</v>
      </c>
      <c r="H54" s="213">
        <f t="shared" si="90"/>
        <v>3400000</v>
      </c>
      <c r="I54" s="241">
        <f t="shared" si="90"/>
        <v>1100000</v>
      </c>
      <c r="J54" s="212">
        <f t="shared" si="90"/>
        <v>0</v>
      </c>
      <c r="K54" s="213">
        <f t="shared" si="90"/>
        <v>1100000</v>
      </c>
      <c r="L54" s="238">
        <f>SUM(L51:L53)</f>
        <v>4500000</v>
      </c>
      <c r="M54" s="210">
        <f t="shared" si="90"/>
        <v>0</v>
      </c>
      <c r="N54" s="244">
        <f>L54+M54</f>
        <v>4500000</v>
      </c>
      <c r="P54" s="209">
        <f t="shared" ref="P54" si="91">SUM(P51:P53)</f>
        <v>4500000</v>
      </c>
      <c r="Q54" s="209">
        <f t="shared" ref="Q54" si="92">SUM(Q51:Q53)</f>
        <v>8</v>
      </c>
      <c r="R54" s="209">
        <f t="shared" ref="R54" si="93">SUM(R51:R53)</f>
        <v>1450000</v>
      </c>
      <c r="S54" s="209">
        <f t="shared" ref="S54" si="94">SUM(S51:S53)</f>
        <v>4385.3666665557721</v>
      </c>
    </row>
    <row r="55" spans="2:21" s="219" customFormat="1" ht="19" thickBot="1">
      <c r="B55" s="312"/>
      <c r="C55" s="313" t="s">
        <v>208</v>
      </c>
      <c r="D55" s="252"/>
      <c r="E55" s="227"/>
      <c r="F55" s="301"/>
      <c r="G55" s="302"/>
      <c r="H55" s="303"/>
      <c r="I55" s="301"/>
      <c r="J55" s="302"/>
      <c r="K55" s="303"/>
      <c r="L55" s="318">
        <f>L56/L59</f>
        <v>2.1824377929306094E-3</v>
      </c>
      <c r="M55" s="305"/>
      <c r="N55" s="306"/>
      <c r="P55" s="220"/>
      <c r="Q55" s="218"/>
      <c r="R55" s="218"/>
      <c r="S55" s="221"/>
      <c r="T55" s="222"/>
    </row>
    <row r="56" spans="2:21" s="109" customFormat="1" ht="14.5">
      <c r="B56" s="281"/>
      <c r="C56" s="275" t="s">
        <v>209</v>
      </c>
      <c r="D56" s="254">
        <v>500000</v>
      </c>
      <c r="E56" s="229">
        <v>1</v>
      </c>
      <c r="F56" s="237">
        <v>0</v>
      </c>
      <c r="G56" s="196">
        <v>0</v>
      </c>
      <c r="H56" s="290">
        <f>F56+G56</f>
        <v>0</v>
      </c>
      <c r="I56" s="237">
        <f>D56*E56</f>
        <v>500000</v>
      </c>
      <c r="J56" s="196">
        <v>0</v>
      </c>
      <c r="K56" s="290">
        <f t="shared" ref="K56:K59" si="95">I56+J56</f>
        <v>500000</v>
      </c>
      <c r="L56" s="242">
        <f t="shared" ref="L56" si="96">F56+I56</f>
        <v>500000</v>
      </c>
      <c r="M56" s="201">
        <f t="shared" ref="M56" si="97">G56+J56</f>
        <v>0</v>
      </c>
      <c r="N56" s="243">
        <f t="shared" ref="N56:N59" si="98">L56+M56</f>
        <v>500000</v>
      </c>
      <c r="P56" s="206">
        <f t="shared" ref="P56" si="99">L56</f>
        <v>500000</v>
      </c>
      <c r="Q56" s="206">
        <v>1</v>
      </c>
      <c r="R56" s="206">
        <f t="shared" ref="R56" si="100">P56/Q56</f>
        <v>500000</v>
      </c>
      <c r="S56" s="208">
        <f t="shared" ref="S56:S58" si="101">R56/$U$2</f>
        <v>1512.195402260611</v>
      </c>
      <c r="T56" s="203">
        <f t="shared" ref="T56" si="102">Q56*S56</f>
        <v>1512.195402260611</v>
      </c>
    </row>
    <row r="57" spans="2:21" ht="14.5">
      <c r="B57" s="269"/>
      <c r="C57" s="282" t="s">
        <v>207</v>
      </c>
      <c r="D57" s="260"/>
      <c r="E57" s="234"/>
      <c r="F57" s="241">
        <f>F14+F24+F33+F42+F49+F54</f>
        <v>107875025</v>
      </c>
      <c r="G57" s="212">
        <f t="shared" ref="G57:M57" si="103">G14+G24+G33+G42+G49+G54</f>
        <v>4830000</v>
      </c>
      <c r="H57" s="251">
        <f t="shared" ref="H57:H59" si="104">F57+G57</f>
        <v>112705025</v>
      </c>
      <c r="I57" s="241">
        <f>I14+I24+I33+I42+I49+I54+I56</f>
        <v>103278527.5</v>
      </c>
      <c r="J57" s="212">
        <f t="shared" si="103"/>
        <v>5313000.0000000009</v>
      </c>
      <c r="K57" s="251">
        <f t="shared" si="95"/>
        <v>108591527.5</v>
      </c>
      <c r="L57" s="241">
        <f>L14+L24+L33+L42+L49+L54+L56</f>
        <v>211153552.5</v>
      </c>
      <c r="M57" s="212">
        <f t="shared" si="103"/>
        <v>10143000</v>
      </c>
      <c r="N57" s="251">
        <f t="shared" si="98"/>
        <v>221296552.5</v>
      </c>
      <c r="P57" s="211">
        <f t="shared" ref="P57:S57" si="105">P14+P24+P33+P42+P49+P54</f>
        <v>220796552.5</v>
      </c>
      <c r="Q57" s="211">
        <f t="shared" si="105"/>
        <v>732310</v>
      </c>
      <c r="R57" s="211">
        <f t="shared" si="105"/>
        <v>14930023.35</v>
      </c>
      <c r="S57" s="211">
        <f t="shared" si="105"/>
        <v>45154.225331027148</v>
      </c>
    </row>
    <row r="58" spans="2:21" s="216" customFormat="1" ht="15.5">
      <c r="B58" s="332"/>
      <c r="C58" s="333" t="s">
        <v>218</v>
      </c>
      <c r="D58" s="334">
        <v>8.5000000000000006E-2</v>
      </c>
      <c r="E58" s="335">
        <v>12</v>
      </c>
      <c r="F58" s="336">
        <f>F57*8.5%</f>
        <v>9169377.125</v>
      </c>
      <c r="G58" s="337">
        <v>0</v>
      </c>
      <c r="H58" s="338">
        <f t="shared" si="104"/>
        <v>9169377.125</v>
      </c>
      <c r="I58" s="336">
        <f>I57*8.5%</f>
        <v>8778674.8375000004</v>
      </c>
      <c r="J58" s="337">
        <v>0</v>
      </c>
      <c r="K58" s="338">
        <f t="shared" si="95"/>
        <v>8778674.8375000004</v>
      </c>
      <c r="L58" s="336">
        <f>L57*8.5%</f>
        <v>17948051.962500002</v>
      </c>
      <c r="M58" s="337">
        <v>0</v>
      </c>
      <c r="N58" s="338">
        <f>L58+M58</f>
        <v>17948051.962500002</v>
      </c>
      <c r="P58" s="339">
        <f t="shared" ref="P58" si="106">L58</f>
        <v>17948051.962500002</v>
      </c>
      <c r="Q58" s="339">
        <v>1</v>
      </c>
      <c r="R58" s="339">
        <f t="shared" ref="R58" si="107">P58/Q58</f>
        <v>17948051.962500002</v>
      </c>
      <c r="S58" s="339">
        <f t="shared" si="101"/>
        <v>54281.923314454085</v>
      </c>
      <c r="T58" s="217">
        <f t="shared" ref="T58" si="108">Q58*S58</f>
        <v>54281.923314454085</v>
      </c>
    </row>
    <row r="59" spans="2:21" s="216" customFormat="1" ht="15.5">
      <c r="B59" s="340"/>
      <c r="C59" s="341" t="s">
        <v>107</v>
      </c>
      <c r="D59" s="342"/>
      <c r="E59" s="343"/>
      <c r="F59" s="344">
        <f>F57+F58</f>
        <v>117044402.125</v>
      </c>
      <c r="G59" s="345">
        <f t="shared" ref="G59:M59" si="109">G57+G58</f>
        <v>4830000</v>
      </c>
      <c r="H59" s="346">
        <f t="shared" si="104"/>
        <v>121874402.125</v>
      </c>
      <c r="I59" s="344">
        <f t="shared" si="109"/>
        <v>112057202.33750001</v>
      </c>
      <c r="J59" s="345">
        <f t="shared" si="109"/>
        <v>5313000.0000000009</v>
      </c>
      <c r="K59" s="346">
        <f t="shared" si="95"/>
        <v>117370202.33750001</v>
      </c>
      <c r="L59" s="344">
        <f>L57+L58</f>
        <v>229101604.46250001</v>
      </c>
      <c r="M59" s="345">
        <f t="shared" si="109"/>
        <v>10143000</v>
      </c>
      <c r="N59" s="346">
        <f t="shared" si="98"/>
        <v>239244604.46250001</v>
      </c>
      <c r="P59" s="339"/>
      <c r="Q59" s="339"/>
      <c r="R59" s="339"/>
      <c r="S59" s="339"/>
      <c r="T59" s="217"/>
    </row>
    <row r="60" spans="2:21" s="215" customFormat="1" ht="14.5" thickBot="1">
      <c r="B60" s="283"/>
      <c r="C60" s="314" t="s">
        <v>214</v>
      </c>
      <c r="D60" s="291"/>
      <c r="E60" s="291"/>
      <c r="F60" s="292">
        <f>F59/$N$59</f>
        <v>0.48922483492557062</v>
      </c>
      <c r="G60" s="293">
        <f t="shared" ref="G60:N60" si="110">G59/$N$59</f>
        <v>2.0188543063912944E-2</v>
      </c>
      <c r="H60" s="294">
        <f>H59/$N$59</f>
        <v>0.50941337798948361</v>
      </c>
      <c r="I60" s="292">
        <f t="shared" si="110"/>
        <v>0.4683792246402122</v>
      </c>
      <c r="J60" s="293">
        <f t="shared" si="110"/>
        <v>2.2207397370304242E-2</v>
      </c>
      <c r="K60" s="294">
        <f>K59/$N$59</f>
        <v>0.49058662201051645</v>
      </c>
      <c r="L60" s="295">
        <f t="shared" si="110"/>
        <v>0.95760405956578287</v>
      </c>
      <c r="M60" s="296">
        <f t="shared" si="110"/>
        <v>4.2395940434217183E-2</v>
      </c>
      <c r="N60" s="297">
        <f t="shared" si="110"/>
        <v>1</v>
      </c>
      <c r="P60" s="298"/>
      <c r="Q60" s="298"/>
      <c r="R60" s="298"/>
      <c r="S60" s="298"/>
      <c r="T60" s="298"/>
    </row>
    <row r="61" spans="2:21" ht="14.5" thickBot="1"/>
    <row r="62" spans="2:21" ht="14.5" thickBot="1">
      <c r="L62" s="330">
        <f>L59/U2</f>
        <v>692892.7858374432</v>
      </c>
      <c r="M62" s="329">
        <f>M59/U2</f>
        <v>30676.395930258757</v>
      </c>
      <c r="N62" s="328">
        <f>L62+M62</f>
        <v>723569.18176770199</v>
      </c>
    </row>
  </sheetData>
  <mergeCells count="14">
    <mergeCell ref="B2:B3"/>
    <mergeCell ref="C2:C3"/>
    <mergeCell ref="L2:N2"/>
    <mergeCell ref="F2:H2"/>
    <mergeCell ref="I2:K2"/>
    <mergeCell ref="P2:S2"/>
    <mergeCell ref="P10:P13"/>
    <mergeCell ref="Q10:Q13"/>
    <mergeCell ref="R10:R13"/>
    <mergeCell ref="S10:S13"/>
    <mergeCell ref="P5:P9"/>
    <mergeCell ref="Q5:Q9"/>
    <mergeCell ref="R5:R9"/>
    <mergeCell ref="S5:S9"/>
  </mergeCells>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3F966-B3B7-4BFF-B7D5-4275425EE5D0}">
  <sheetPr>
    <tabColor theme="9"/>
  </sheetPr>
  <dimension ref="B1:F25"/>
  <sheetViews>
    <sheetView showGridLines="0" topLeftCell="A12" workbookViewId="0">
      <selection activeCell="B17" sqref="B17:F25"/>
    </sheetView>
  </sheetViews>
  <sheetFormatPr defaultRowHeight="14.5"/>
  <cols>
    <col min="2" max="2" width="61.54296875" bestFit="1" customWidth="1"/>
    <col min="3" max="3" width="12.6328125" style="320" bestFit="1" customWidth="1"/>
    <col min="4" max="4" width="15.54296875" style="320" bestFit="1" customWidth="1"/>
    <col min="5" max="6" width="10.6328125" customWidth="1"/>
  </cols>
  <sheetData>
    <row r="1" spans="2:6" ht="24" hidden="1" thickBot="1">
      <c r="B1" s="321"/>
      <c r="C1" s="323"/>
      <c r="D1" s="323"/>
      <c r="E1" s="322"/>
      <c r="F1" s="322"/>
    </row>
    <row r="2" spans="2:6" ht="24" hidden="1" thickBot="1">
      <c r="B2" s="326" t="s">
        <v>219</v>
      </c>
      <c r="C2" s="347" t="s">
        <v>227</v>
      </c>
      <c r="D2" s="358" t="s">
        <v>226</v>
      </c>
      <c r="E2" s="352" t="s">
        <v>220</v>
      </c>
      <c r="F2" s="352" t="s">
        <v>221</v>
      </c>
    </row>
    <row r="3" spans="2:6" ht="23.5" hidden="1">
      <c r="B3" s="325" t="str">
        <f>Revised!C4</f>
        <v>1. Personnel Cost</v>
      </c>
      <c r="C3" s="348">
        <f>Revised!L4</f>
        <v>0.21998972952740545</v>
      </c>
      <c r="D3" s="359">
        <f>C3</f>
        <v>0.21998972952740545</v>
      </c>
      <c r="E3" s="353">
        <v>0.25</v>
      </c>
      <c r="F3" s="353">
        <f>E3-C3</f>
        <v>3.0010270472594552E-2</v>
      </c>
    </row>
    <row r="4" spans="2:6" ht="23.5" hidden="1">
      <c r="B4" s="324" t="str">
        <f>Revised!C15</f>
        <v>2. Feasibility &amp; Baseline Study Cost</v>
      </c>
      <c r="C4" s="349">
        <f>Revised!L15</f>
        <v>0.2549436532189821</v>
      </c>
      <c r="D4" s="476">
        <f>SUM(C4:C8)</f>
        <v>0.69948681885477904</v>
      </c>
      <c r="E4" s="354">
        <v>0.1</v>
      </c>
      <c r="F4" s="354">
        <f t="shared" ref="F4:F10" si="0">E4-C4</f>
        <v>-0.1549436532189821</v>
      </c>
    </row>
    <row r="5" spans="2:6" ht="23.5" hidden="1">
      <c r="B5" s="324" t="str">
        <f>Revised!C25</f>
        <v>3. Establishment of 0.5 million Acacia Trees</v>
      </c>
      <c r="C5" s="349">
        <f>Revised!L25</f>
        <v>0.30592321762404817</v>
      </c>
      <c r="D5" s="477"/>
      <c r="E5" s="354">
        <v>0.42</v>
      </c>
      <c r="F5" s="354">
        <f t="shared" si="0"/>
        <v>0.11407678237595181</v>
      </c>
    </row>
    <row r="6" spans="2:6" ht="23.5" hidden="1">
      <c r="B6" s="324" t="str">
        <f>Revised!C34</f>
        <v>4. Establishment of 20,000 Fruit Trees</v>
      </c>
      <c r="C6" s="349">
        <f>Revised!L34</f>
        <v>5.7105896445790588E-2</v>
      </c>
      <c r="D6" s="477"/>
      <c r="E6" s="354">
        <v>0.1</v>
      </c>
      <c r="F6" s="354">
        <f t="shared" si="0"/>
        <v>4.2894103554209417E-2</v>
      </c>
    </row>
    <row r="7" spans="2:6" ht="23.5" hidden="1">
      <c r="B7" s="324" t="str">
        <f>Revised!C43</f>
        <v>5. Post Plantation Management</v>
      </c>
      <c r="C7" s="349">
        <f>Revised!L43</f>
        <v>6.187211142958278E-2</v>
      </c>
      <c r="D7" s="477"/>
      <c r="E7" s="354">
        <v>0.1</v>
      </c>
      <c r="F7" s="354">
        <f t="shared" si="0"/>
        <v>3.8127888570417226E-2</v>
      </c>
    </row>
    <row r="8" spans="2:6" ht="23.5" hidden="1">
      <c r="B8" s="324" t="str">
        <f>Revised!C50</f>
        <v>6. Establish Small Scale Biodiversity Parks</v>
      </c>
      <c r="C8" s="349">
        <f>Revised!L50</f>
        <v>1.9641940136375487E-2</v>
      </c>
      <c r="D8" s="478"/>
      <c r="E8" s="354">
        <v>0.03</v>
      </c>
      <c r="F8" s="354">
        <f t="shared" si="0"/>
        <v>1.0358059863624512E-2</v>
      </c>
    </row>
    <row r="9" spans="2:6" ht="23.5" hidden="1">
      <c r="B9" s="324" t="str">
        <f>Revised!C55</f>
        <v>7. Audit Cost</v>
      </c>
      <c r="C9" s="350">
        <f>Revised!L55</f>
        <v>2.1824377929306094E-3</v>
      </c>
      <c r="D9" s="360">
        <f>C9</f>
        <v>2.1824377929306094E-3</v>
      </c>
      <c r="E9" s="355">
        <f>C9</f>
        <v>2.1824377929306094E-3</v>
      </c>
      <c r="F9" s="355">
        <f t="shared" si="0"/>
        <v>0</v>
      </c>
    </row>
    <row r="10" spans="2:6" ht="24" hidden="1" thickBot="1">
      <c r="B10" s="327" t="str">
        <f>Revised!C58</f>
        <v>8. Project Management Fee 8.5%</v>
      </c>
      <c r="C10" s="351">
        <v>8.5000000000000006E-2</v>
      </c>
      <c r="D10" s="361">
        <f>C10</f>
        <v>8.5000000000000006E-2</v>
      </c>
      <c r="E10" s="356">
        <f>C10</f>
        <v>8.5000000000000006E-2</v>
      </c>
      <c r="F10" s="356">
        <f t="shared" si="0"/>
        <v>0</v>
      </c>
    </row>
    <row r="11" spans="2:6" ht="24" hidden="1" thickBot="1">
      <c r="B11" s="326" t="s">
        <v>81</v>
      </c>
      <c r="C11" s="347">
        <f>SUM(C3:C9)+$B$13</f>
        <v>0.99999999999999989</v>
      </c>
      <c r="D11" s="358">
        <f>C11</f>
        <v>0.99999999999999989</v>
      </c>
      <c r="E11" s="357">
        <f>SUM(E3:E9)</f>
        <v>1.0021824377929307</v>
      </c>
      <c r="F11" s="357">
        <f>E11-C11</f>
        <v>2.1824377929308136E-3</v>
      </c>
    </row>
    <row r="13" spans="2:6" hidden="1">
      <c r="B13" s="319">
        <v>7.8341013824884786E-2</v>
      </c>
    </row>
    <row r="17" spans="2:6">
      <c r="B17" s="362" t="s">
        <v>0</v>
      </c>
      <c r="C17" s="363" t="s">
        <v>228</v>
      </c>
      <c r="D17" s="363" t="s">
        <v>229</v>
      </c>
      <c r="E17" s="364" t="s">
        <v>220</v>
      </c>
      <c r="F17" s="364" t="s">
        <v>238</v>
      </c>
    </row>
    <row r="18" spans="2:6" ht="29">
      <c r="B18" s="367" t="s">
        <v>230</v>
      </c>
      <c r="C18" s="365">
        <v>417047.63797346462</v>
      </c>
      <c r="D18" s="363">
        <v>0.55392699441206916</v>
      </c>
      <c r="E18" s="366">
        <v>0.25</v>
      </c>
      <c r="F18" s="366"/>
    </row>
    <row r="19" spans="2:6">
      <c r="B19" s="367" t="s">
        <v>231</v>
      </c>
      <c r="C19" s="365">
        <v>26312.199999334633</v>
      </c>
      <c r="D19" s="363">
        <v>3.4948136699261306E-2</v>
      </c>
      <c r="E19" s="366">
        <v>0.1</v>
      </c>
      <c r="F19" s="366"/>
    </row>
    <row r="20" spans="2:6">
      <c r="B20" s="367" t="s">
        <v>232</v>
      </c>
      <c r="C20" s="365">
        <v>9526.8310342418499</v>
      </c>
      <c r="D20" s="363">
        <v>1.2653635701456681E-2</v>
      </c>
      <c r="E20" s="366">
        <v>0</v>
      </c>
      <c r="F20" s="366"/>
    </row>
    <row r="21" spans="2:6">
      <c r="B21" s="367" t="s">
        <v>233</v>
      </c>
      <c r="C21" s="365">
        <v>202445.1594776393</v>
      </c>
      <c r="D21" s="363">
        <v>0.26888975865595444</v>
      </c>
      <c r="E21" s="366">
        <v>0.42</v>
      </c>
      <c r="F21" s="366"/>
    </row>
    <row r="22" spans="2:6">
      <c r="B22" s="367" t="s">
        <v>234</v>
      </c>
      <c r="C22" s="365">
        <v>39568.263676068382</v>
      </c>
      <c r="D22" s="363">
        <v>5.2554977840645098E-2</v>
      </c>
      <c r="E22" s="366">
        <v>0.1</v>
      </c>
      <c r="F22" s="366"/>
    </row>
    <row r="23" spans="2:6">
      <c r="B23" s="367" t="s">
        <v>235</v>
      </c>
      <c r="C23" s="365">
        <v>42870.739654088327</v>
      </c>
      <c r="D23" s="363">
        <v>5.6941360656555064E-2</v>
      </c>
      <c r="E23" s="366">
        <v>0.1</v>
      </c>
      <c r="F23" s="366"/>
    </row>
    <row r="24" spans="2:6">
      <c r="B24" s="367" t="s">
        <v>236</v>
      </c>
      <c r="C24" s="365">
        <v>13609.758620345499</v>
      </c>
      <c r="D24" s="363">
        <v>1.80766224306524E-2</v>
      </c>
      <c r="E24" s="366">
        <v>0.03</v>
      </c>
      <c r="F24" s="366"/>
    </row>
    <row r="25" spans="2:6">
      <c r="B25" s="362" t="s">
        <v>237</v>
      </c>
      <c r="C25" s="365">
        <v>752892.7858374432</v>
      </c>
      <c r="D25" s="363">
        <v>1</v>
      </c>
      <c r="E25" s="363">
        <v>1</v>
      </c>
      <c r="F25" s="363"/>
    </row>
  </sheetData>
  <mergeCells count="1">
    <mergeCell ref="D4:D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7FF5-EF00-4A80-83CA-B57B4DE6D02A}">
  <sheetPr>
    <tabColor theme="0"/>
  </sheetPr>
  <dimension ref="A1:M56"/>
  <sheetViews>
    <sheetView showGridLines="0" zoomScale="93" zoomScaleNormal="130" workbookViewId="0">
      <pane xSplit="1" ySplit="5" topLeftCell="B44" activePane="bottomRight" state="frozen"/>
      <selection pane="topRight" activeCell="C1" sqref="C1"/>
      <selection pane="bottomLeft" activeCell="A6" sqref="A6"/>
      <selection pane="bottomRight" activeCell="L24" sqref="L24"/>
    </sheetView>
  </sheetViews>
  <sheetFormatPr defaultColWidth="9.08984375" defaultRowHeight="14"/>
  <cols>
    <col min="1" max="1" width="9.08984375" style="134"/>
    <col min="2" max="2" width="70.08984375" style="89" customWidth="1"/>
    <col min="3" max="3" width="10.81640625" style="173" customWidth="1"/>
    <col min="4" max="4" width="9.1796875" style="173" customWidth="1"/>
    <col min="5" max="6" width="15.54296875" style="135" customWidth="1"/>
    <col min="7" max="7" width="15.54296875" style="136" customWidth="1"/>
    <col min="8" max="8" width="2.08984375" style="89" customWidth="1"/>
    <col min="9" max="9" width="10.81640625" style="135" customWidth="1"/>
    <col min="10" max="10" width="11.1796875" style="135" bestFit="1" customWidth="1"/>
    <col min="11" max="11" width="9.6328125" style="135" customWidth="1"/>
    <col min="12" max="12" width="9" style="176" customWidth="1"/>
    <col min="13" max="13" width="15.1796875" style="89" bestFit="1" customWidth="1"/>
    <col min="14" max="16384" width="9.08984375" style="89"/>
  </cols>
  <sheetData>
    <row r="1" spans="1:12" ht="14.4" customHeight="1">
      <c r="A1" s="192" t="s">
        <v>75</v>
      </c>
      <c r="B1" s="192"/>
      <c r="C1" s="192"/>
      <c r="D1" s="192"/>
      <c r="E1" s="158">
        <v>29.644500000000001</v>
      </c>
      <c r="F1" s="141">
        <v>330.64510000000001</v>
      </c>
      <c r="G1" s="156" t="s">
        <v>134</v>
      </c>
      <c r="I1" s="88"/>
      <c r="J1" s="88"/>
      <c r="K1" s="88"/>
    </row>
    <row r="2" spans="1:12" ht="14.5">
      <c r="A2" s="192"/>
      <c r="B2" s="192"/>
      <c r="C2" s="192"/>
      <c r="D2" s="192"/>
      <c r="E2" s="159" t="s">
        <v>74</v>
      </c>
      <c r="F2" s="142" t="s">
        <v>133</v>
      </c>
      <c r="G2" s="157" t="s">
        <v>131</v>
      </c>
      <c r="I2" s="90"/>
      <c r="J2" s="90"/>
      <c r="K2" s="90"/>
    </row>
    <row r="3" spans="1:12" ht="14.5">
      <c r="A3" s="480" t="s">
        <v>132</v>
      </c>
      <c r="B3" s="480"/>
      <c r="C3" s="480"/>
      <c r="D3" s="480"/>
      <c r="E3" s="88"/>
      <c r="F3" s="88"/>
      <c r="G3" s="143"/>
      <c r="I3" s="88"/>
      <c r="J3" s="88"/>
      <c r="K3" s="88"/>
    </row>
    <row r="4" spans="1:12" ht="14.5">
      <c r="A4" s="479" t="s">
        <v>76</v>
      </c>
      <c r="B4" s="481" t="s">
        <v>77</v>
      </c>
      <c r="C4" s="91" t="s">
        <v>120</v>
      </c>
      <c r="D4" s="91" t="s">
        <v>112</v>
      </c>
      <c r="E4" s="91" t="s">
        <v>108</v>
      </c>
      <c r="F4" s="91" t="s">
        <v>109</v>
      </c>
      <c r="G4" s="91" t="s">
        <v>81</v>
      </c>
      <c r="I4" s="153" t="s">
        <v>112</v>
      </c>
      <c r="J4" s="153" t="s">
        <v>110</v>
      </c>
      <c r="K4" s="153" t="s">
        <v>110</v>
      </c>
    </row>
    <row r="5" spans="1:12" ht="14.5">
      <c r="A5" s="479"/>
      <c r="B5" s="482"/>
      <c r="C5" s="91" t="s">
        <v>119</v>
      </c>
      <c r="D5" s="91" t="s">
        <v>118</v>
      </c>
      <c r="E5" s="91" t="s">
        <v>78</v>
      </c>
      <c r="F5" s="91" t="s">
        <v>78</v>
      </c>
      <c r="G5" s="91" t="s">
        <v>78</v>
      </c>
      <c r="I5" s="153" t="s">
        <v>113</v>
      </c>
      <c r="J5" s="153" t="s">
        <v>72</v>
      </c>
      <c r="K5" s="153" t="s">
        <v>111</v>
      </c>
      <c r="L5" s="177">
        <f>SUM(L12:L50)</f>
        <v>0.99999999999999989</v>
      </c>
    </row>
    <row r="6" spans="1:12" ht="14.5">
      <c r="A6" s="92" t="s">
        <v>79</v>
      </c>
      <c r="B6" s="93" t="s">
        <v>114</v>
      </c>
      <c r="C6" s="160"/>
      <c r="D6" s="161"/>
      <c r="E6" s="94"/>
      <c r="F6" s="94"/>
      <c r="G6" s="144"/>
      <c r="I6" s="94"/>
      <c r="J6" s="94"/>
      <c r="K6" s="94"/>
    </row>
    <row r="7" spans="1:12" ht="14.5">
      <c r="A7" s="183" t="s">
        <v>80</v>
      </c>
      <c r="B7" s="97" t="s">
        <v>115</v>
      </c>
      <c r="C7" s="160">
        <v>450000</v>
      </c>
      <c r="D7" s="160">
        <v>12</v>
      </c>
      <c r="E7" s="98">
        <f t="shared" ref="E7:E9" si="0">C7*D7</f>
        <v>5400000</v>
      </c>
      <c r="F7" s="98">
        <f>E7*1.1</f>
        <v>5940000.0000000009</v>
      </c>
      <c r="G7" s="145">
        <f t="shared" ref="G7:G10" si="1">E7+F7</f>
        <v>11340000</v>
      </c>
      <c r="I7" s="98">
        <f t="shared" ref="I7:I10" si="2">D7*2</f>
        <v>24</v>
      </c>
      <c r="J7" s="98">
        <f>G7/I7</f>
        <v>472500</v>
      </c>
      <c r="K7" s="98">
        <f>J7/$F$1</f>
        <v>1429.0246551362775</v>
      </c>
    </row>
    <row r="8" spans="1:12" ht="14.5">
      <c r="A8" s="183" t="s">
        <v>143</v>
      </c>
      <c r="B8" s="181" t="s">
        <v>163</v>
      </c>
      <c r="C8" s="160">
        <v>400000</v>
      </c>
      <c r="D8" s="160">
        <v>12</v>
      </c>
      <c r="E8" s="98">
        <f t="shared" si="0"/>
        <v>4800000</v>
      </c>
      <c r="F8" s="98">
        <f>E8*1.1</f>
        <v>5280000</v>
      </c>
      <c r="G8" s="145">
        <f t="shared" si="1"/>
        <v>10080000</v>
      </c>
      <c r="I8" s="98">
        <f t="shared" si="2"/>
        <v>24</v>
      </c>
      <c r="J8" s="98">
        <f>G8/I8</f>
        <v>420000</v>
      </c>
      <c r="K8" s="98">
        <f>J8/$F$1</f>
        <v>1270.2441378989133</v>
      </c>
    </row>
    <row r="9" spans="1:12" ht="14.5">
      <c r="A9" s="183" t="s">
        <v>135</v>
      </c>
      <c r="B9" s="97" t="s">
        <v>137</v>
      </c>
      <c r="C9" s="160">
        <v>300000</v>
      </c>
      <c r="D9" s="160">
        <v>36</v>
      </c>
      <c r="E9" s="98">
        <f t="shared" si="0"/>
        <v>10800000</v>
      </c>
      <c r="F9" s="98">
        <f t="shared" ref="F9" si="3">E9*1.1</f>
        <v>11880000.000000002</v>
      </c>
      <c r="G9" s="145">
        <f t="shared" si="1"/>
        <v>22680000</v>
      </c>
      <c r="I9" s="98">
        <f>D9*2</f>
        <v>72</v>
      </c>
      <c r="J9" s="98">
        <f t="shared" ref="J9:J10" si="4">G9/I9</f>
        <v>315000</v>
      </c>
      <c r="K9" s="98">
        <f t="shared" ref="K9:K10" si="5">J9/$F$1</f>
        <v>952.68310342418499</v>
      </c>
    </row>
    <row r="10" spans="1:12" ht="14.5">
      <c r="A10" s="183" t="s">
        <v>144</v>
      </c>
      <c r="B10" s="97" t="s">
        <v>138</v>
      </c>
      <c r="C10" s="160">
        <v>200000</v>
      </c>
      <c r="D10" s="160">
        <v>12</v>
      </c>
      <c r="E10" s="98">
        <f>C10*D10</f>
        <v>2400000</v>
      </c>
      <c r="F10" s="98">
        <f>E10*1.1</f>
        <v>2640000</v>
      </c>
      <c r="G10" s="145">
        <f t="shared" si="1"/>
        <v>5040000</v>
      </c>
      <c r="I10" s="98">
        <f t="shared" si="2"/>
        <v>24</v>
      </c>
      <c r="J10" s="98">
        <f t="shared" si="4"/>
        <v>210000</v>
      </c>
      <c r="K10" s="98">
        <f t="shared" si="5"/>
        <v>635.12206894945666</v>
      </c>
    </row>
    <row r="11" spans="1:12" ht="14.5">
      <c r="A11" s="183" t="s">
        <v>136</v>
      </c>
      <c r="B11" s="99" t="s">
        <v>150</v>
      </c>
      <c r="C11" s="160">
        <v>150000</v>
      </c>
      <c r="D11" s="160">
        <v>36</v>
      </c>
      <c r="E11" s="98">
        <f>C11*D11</f>
        <v>5400000</v>
      </c>
      <c r="F11" s="98">
        <f>E11*1.1</f>
        <v>5940000.0000000009</v>
      </c>
      <c r="G11" s="145">
        <f t="shared" ref="G11" si="6">E11+F11</f>
        <v>11340000</v>
      </c>
      <c r="I11" s="98">
        <f t="shared" ref="I11" si="7">D11*2</f>
        <v>72</v>
      </c>
      <c r="J11" s="98">
        <f t="shared" ref="J11" si="8">G11/I11</f>
        <v>157500</v>
      </c>
      <c r="K11" s="98">
        <f t="shared" ref="K11" si="9">J11/$F$1</f>
        <v>476.3415517120925</v>
      </c>
    </row>
    <row r="12" spans="1:12" ht="14.5">
      <c r="A12" s="100"/>
      <c r="B12" s="101" t="s">
        <v>81</v>
      </c>
      <c r="C12" s="162"/>
      <c r="D12" s="162"/>
      <c r="E12" s="102">
        <f>SUM(E7:E11)</f>
        <v>28800000</v>
      </c>
      <c r="F12" s="102">
        <f>SUM(F7:F11)</f>
        <v>31680000</v>
      </c>
      <c r="G12" s="102">
        <f>SUM(G7:G11)</f>
        <v>60480000</v>
      </c>
      <c r="I12" s="102"/>
      <c r="J12" s="102">
        <f>SUM(J7:J11)</f>
        <v>1575000</v>
      </c>
      <c r="K12" s="102">
        <f>SUM(K7:K11)</f>
        <v>4763.4155171209241</v>
      </c>
      <c r="L12" s="178">
        <f>G12/$G$51</f>
        <v>0.26398767543288654</v>
      </c>
    </row>
    <row r="13" spans="1:12" ht="14.5">
      <c r="A13" s="92" t="s">
        <v>82</v>
      </c>
      <c r="B13" s="103" t="s">
        <v>164</v>
      </c>
      <c r="C13" s="161"/>
      <c r="D13" s="161"/>
      <c r="E13" s="94"/>
      <c r="F13" s="94"/>
      <c r="G13" s="144"/>
      <c r="I13" s="94"/>
      <c r="J13" s="94"/>
      <c r="K13" s="94"/>
      <c r="L13" s="177"/>
    </row>
    <row r="14" spans="1:12" ht="14.5">
      <c r="A14" s="104" t="s">
        <v>83</v>
      </c>
      <c r="B14" s="105" t="s">
        <v>152</v>
      </c>
      <c r="C14" s="163">
        <v>100000</v>
      </c>
      <c r="D14" s="161">
        <v>12</v>
      </c>
      <c r="E14" s="95">
        <f>C14*D14</f>
        <v>1200000</v>
      </c>
      <c r="F14" s="95">
        <f>E14*1.1</f>
        <v>1320000</v>
      </c>
      <c r="G14" s="146">
        <f>E14+F14</f>
        <v>2520000</v>
      </c>
      <c r="I14" s="98">
        <f>D14*2</f>
        <v>24</v>
      </c>
      <c r="J14" s="98">
        <f>G14/I14</f>
        <v>105000</v>
      </c>
      <c r="K14" s="98">
        <f t="shared" ref="K14" si="10">J14/$F$1</f>
        <v>317.56103447472833</v>
      </c>
      <c r="L14" s="177"/>
    </row>
    <row r="15" spans="1:12" ht="14.5">
      <c r="A15" s="100"/>
      <c r="B15" s="101" t="s">
        <v>84</v>
      </c>
      <c r="C15" s="162"/>
      <c r="D15" s="162"/>
      <c r="E15" s="102">
        <f>SUM(E14)</f>
        <v>1200000</v>
      </c>
      <c r="F15" s="102">
        <f>SUM(F14)</f>
        <v>1320000</v>
      </c>
      <c r="G15" s="102">
        <f>SUM(G14)</f>
        <v>2520000</v>
      </c>
      <c r="I15" s="102"/>
      <c r="J15" s="102"/>
      <c r="K15" s="102"/>
      <c r="L15" s="178">
        <f>G15/$G$51</f>
        <v>1.0999486476370272E-2</v>
      </c>
    </row>
    <row r="16" spans="1:12" ht="14.5">
      <c r="A16" s="92" t="s">
        <v>85</v>
      </c>
      <c r="B16" s="106" t="s">
        <v>130</v>
      </c>
      <c r="C16" s="160"/>
      <c r="D16" s="160"/>
      <c r="E16" s="94"/>
      <c r="F16" s="94"/>
      <c r="G16" s="144"/>
      <c r="I16" s="94"/>
      <c r="J16" s="94"/>
      <c r="K16" s="94"/>
      <c r="L16" s="177"/>
    </row>
    <row r="17" spans="1:13" ht="14.5">
      <c r="A17" s="104" t="s">
        <v>86</v>
      </c>
      <c r="B17" s="107" t="s">
        <v>151</v>
      </c>
      <c r="C17" s="160">
        <v>350000</v>
      </c>
      <c r="D17" s="160">
        <v>36</v>
      </c>
      <c r="E17" s="95">
        <f>C17*D17</f>
        <v>12600000</v>
      </c>
      <c r="F17" s="95">
        <f>E17*1.1</f>
        <v>13860000.000000002</v>
      </c>
      <c r="G17" s="146">
        <f>E17+F17</f>
        <v>26460000</v>
      </c>
      <c r="I17" s="151">
        <f>D17*2</f>
        <v>72</v>
      </c>
      <c r="J17" s="151">
        <f t="shared" ref="J17:J18" si="11">G17/I17</f>
        <v>367500</v>
      </c>
      <c r="K17" s="151">
        <f t="shared" ref="K17:K19" si="12">J17/$F$1</f>
        <v>1111.4636206615492</v>
      </c>
      <c r="L17" s="177"/>
    </row>
    <row r="18" spans="1:13" ht="14.5">
      <c r="A18" s="104" t="s">
        <v>87</v>
      </c>
      <c r="B18" s="107" t="s">
        <v>146</v>
      </c>
      <c r="C18" s="160">
        <v>150000</v>
      </c>
      <c r="D18" s="160">
        <v>12</v>
      </c>
      <c r="E18" s="95">
        <f>C18*D18</f>
        <v>1800000</v>
      </c>
      <c r="F18" s="95">
        <f>E18*1.1</f>
        <v>1980000.0000000002</v>
      </c>
      <c r="G18" s="146">
        <f>E18+F18</f>
        <v>3780000</v>
      </c>
      <c r="I18" s="151">
        <f>D18*2</f>
        <v>24</v>
      </c>
      <c r="J18" s="151">
        <f t="shared" si="11"/>
        <v>157500</v>
      </c>
      <c r="K18" s="151">
        <f t="shared" si="12"/>
        <v>476.3415517120925</v>
      </c>
      <c r="L18" s="177"/>
    </row>
    <row r="19" spans="1:13" ht="14.5">
      <c r="A19" s="104" t="s">
        <v>88</v>
      </c>
      <c r="B19" s="107" t="s">
        <v>147</v>
      </c>
      <c r="C19" s="160">
        <v>140000</v>
      </c>
      <c r="D19" s="160">
        <v>12</v>
      </c>
      <c r="E19" s="95">
        <f t="shared" ref="E19" si="13">C19*D19</f>
        <v>1680000</v>
      </c>
      <c r="F19" s="95">
        <f>E19*1.1</f>
        <v>1848000.0000000002</v>
      </c>
      <c r="G19" s="146">
        <f>E19+F19</f>
        <v>3528000</v>
      </c>
      <c r="I19" s="151">
        <f>D19*2</f>
        <v>24</v>
      </c>
      <c r="J19" s="151">
        <f>G19/I19</f>
        <v>147000</v>
      </c>
      <c r="K19" s="151">
        <f t="shared" si="12"/>
        <v>444.58544826461969</v>
      </c>
      <c r="L19" s="177"/>
    </row>
    <row r="20" spans="1:13" ht="14.5">
      <c r="A20" s="100"/>
      <c r="B20" s="101" t="s">
        <v>81</v>
      </c>
      <c r="C20" s="162"/>
      <c r="D20" s="162"/>
      <c r="E20" s="102">
        <f>SUM(E17:E19)</f>
        <v>16080000</v>
      </c>
      <c r="F20" s="102">
        <f>SUM(F17:F19)</f>
        <v>17688000.000000004</v>
      </c>
      <c r="G20" s="102">
        <f>SUM(G17:G19)</f>
        <v>33768000</v>
      </c>
      <c r="I20" s="102"/>
      <c r="J20" s="102"/>
      <c r="K20" s="102"/>
      <c r="L20" s="178">
        <f>G20/$G$51</f>
        <v>0.14739311878336164</v>
      </c>
    </row>
    <row r="21" spans="1:13" ht="14.5">
      <c r="A21" s="92" t="s">
        <v>89</v>
      </c>
      <c r="B21" s="103" t="s">
        <v>116</v>
      </c>
      <c r="C21" s="161"/>
      <c r="D21" s="161"/>
      <c r="E21" s="94"/>
      <c r="F21" s="94"/>
      <c r="G21" s="144"/>
      <c r="I21" s="94"/>
      <c r="J21" s="94"/>
      <c r="K21" s="94"/>
      <c r="L21" s="177"/>
    </row>
    <row r="22" spans="1:13" s="109" customFormat="1" ht="29">
      <c r="A22" s="104" t="s">
        <v>90</v>
      </c>
      <c r="B22" s="105" t="s">
        <v>148</v>
      </c>
      <c r="C22" s="164">
        <v>390000</v>
      </c>
      <c r="D22" s="164">
        <v>6</v>
      </c>
      <c r="E22" s="108">
        <f>C22*D22</f>
        <v>2340000</v>
      </c>
      <c r="F22" s="108"/>
      <c r="G22" s="147">
        <f>E22+F22</f>
        <v>2340000</v>
      </c>
      <c r="I22" s="151">
        <f>D22</f>
        <v>6</v>
      </c>
      <c r="J22" s="151">
        <f>G22/I22</f>
        <v>390000</v>
      </c>
      <c r="K22" s="151">
        <f t="shared" ref="K22:K23" si="14">J22/$F$1</f>
        <v>1179.5124137632768</v>
      </c>
      <c r="L22" s="179"/>
    </row>
    <row r="23" spans="1:13" s="109" customFormat="1" ht="14.5">
      <c r="A23" s="104" t="s">
        <v>91</v>
      </c>
      <c r="B23" s="105" t="s">
        <v>153</v>
      </c>
      <c r="C23" s="165">
        <v>1000000</v>
      </c>
      <c r="D23" s="164">
        <v>1</v>
      </c>
      <c r="E23" s="108">
        <f>C23*D23</f>
        <v>1000000</v>
      </c>
      <c r="F23" s="108"/>
      <c r="G23" s="147">
        <f>E23+F23</f>
        <v>1000000</v>
      </c>
      <c r="I23" s="151">
        <f>D23</f>
        <v>1</v>
      </c>
      <c r="J23" s="151">
        <f>G23/I23</f>
        <v>1000000</v>
      </c>
      <c r="K23" s="151">
        <f t="shared" si="14"/>
        <v>3024.390804521222</v>
      </c>
      <c r="L23" s="179"/>
    </row>
    <row r="24" spans="1:13" ht="14.5">
      <c r="A24" s="110"/>
      <c r="B24" s="111" t="s">
        <v>81</v>
      </c>
      <c r="C24" s="166"/>
      <c r="D24" s="166"/>
      <c r="E24" s="112">
        <f>SUM(E22:E23)</f>
        <v>3340000</v>
      </c>
      <c r="F24" s="112">
        <f>SUM(F22:F23)</f>
        <v>0</v>
      </c>
      <c r="G24" s="112">
        <f>SUM(G22:G23)</f>
        <v>3340000</v>
      </c>
      <c r="I24" s="112"/>
      <c r="J24" s="112"/>
      <c r="K24" s="112"/>
      <c r="L24" s="178">
        <f>G24/$G$51</f>
        <v>1.4578684456776472E-2</v>
      </c>
    </row>
    <row r="25" spans="1:13" ht="14.5">
      <c r="A25" s="92" t="s">
        <v>92</v>
      </c>
      <c r="B25" s="113" t="s">
        <v>93</v>
      </c>
      <c r="C25" s="161"/>
      <c r="D25" s="161"/>
      <c r="E25" s="94"/>
      <c r="F25" s="94"/>
      <c r="G25" s="144"/>
      <c r="I25" s="94"/>
      <c r="J25" s="94"/>
      <c r="K25" s="94"/>
      <c r="L25" s="177"/>
    </row>
    <row r="26" spans="1:13" ht="35.4" customHeight="1">
      <c r="A26" s="137"/>
      <c r="B26" s="184" t="s">
        <v>117</v>
      </c>
      <c r="C26" s="184"/>
      <c r="D26" s="184"/>
      <c r="E26" s="184"/>
      <c r="F26" s="184"/>
      <c r="G26" s="185"/>
      <c r="I26" s="114"/>
      <c r="J26" s="114"/>
      <c r="K26" s="114"/>
      <c r="L26" s="177"/>
    </row>
    <row r="27" spans="1:13" s="109" customFormat="1" ht="14.5">
      <c r="A27" s="183" t="s">
        <v>145</v>
      </c>
      <c r="B27" s="107" t="s">
        <v>139</v>
      </c>
      <c r="C27" s="167">
        <v>8700000</v>
      </c>
      <c r="D27" s="165">
        <v>1</v>
      </c>
      <c r="E27" s="115">
        <f t="shared" ref="E27:E28" si="15">C27*D27</f>
        <v>8700000</v>
      </c>
      <c r="F27" s="115"/>
      <c r="G27" s="148">
        <f>E27+F27</f>
        <v>8700000</v>
      </c>
      <c r="I27" s="151">
        <v>1</v>
      </c>
      <c r="J27" s="151">
        <f>G27/I27</f>
        <v>8700000</v>
      </c>
      <c r="K27" s="151">
        <f>J27/$F$1</f>
        <v>26312.199999334633</v>
      </c>
      <c r="L27" s="179"/>
    </row>
    <row r="28" spans="1:13" s="109" customFormat="1" ht="14.5">
      <c r="A28" s="116" t="s">
        <v>140</v>
      </c>
      <c r="B28" s="107" t="s">
        <v>154</v>
      </c>
      <c r="C28" s="167">
        <v>1500000</v>
      </c>
      <c r="D28" s="165">
        <v>1</v>
      </c>
      <c r="E28" s="115">
        <f t="shared" si="15"/>
        <v>1500000</v>
      </c>
      <c r="F28" s="115">
        <f t="shared" ref="F28" si="16">E28*1.1</f>
        <v>1650000.0000000002</v>
      </c>
      <c r="G28" s="148">
        <f>E28+F28</f>
        <v>3150000</v>
      </c>
      <c r="I28" s="151">
        <v>2</v>
      </c>
      <c r="J28" s="151">
        <f>G28/I28</f>
        <v>1575000</v>
      </c>
      <c r="K28" s="151">
        <f>J28/$F$1</f>
        <v>4763.415517120925</v>
      </c>
      <c r="L28" s="179"/>
    </row>
    <row r="29" spans="1:13" s="109" customFormat="1" ht="14.4" customHeight="1">
      <c r="A29" s="138"/>
      <c r="B29" s="186" t="s">
        <v>121</v>
      </c>
      <c r="C29" s="186"/>
      <c r="D29" s="186"/>
      <c r="E29" s="186"/>
      <c r="F29" s="186"/>
      <c r="G29" s="187"/>
      <c r="I29" s="117"/>
      <c r="J29" s="117"/>
      <c r="K29" s="117"/>
      <c r="L29" s="179"/>
    </row>
    <row r="30" spans="1:13" s="109" customFormat="1" ht="87">
      <c r="A30" s="96" t="s">
        <v>94</v>
      </c>
      <c r="B30" s="118" t="s">
        <v>155</v>
      </c>
      <c r="C30" s="165">
        <v>80</v>
      </c>
      <c r="D30" s="165">
        <v>250000</v>
      </c>
      <c r="E30" s="115">
        <f>C30*D30</f>
        <v>20000000</v>
      </c>
      <c r="F30" s="115">
        <f t="shared" ref="F30:F32" si="17">E30*1.1</f>
        <v>22000000</v>
      </c>
      <c r="G30" s="148">
        <f>E30+F30</f>
        <v>42000000</v>
      </c>
      <c r="I30" s="151">
        <f>D30*2</f>
        <v>500000</v>
      </c>
      <c r="J30" s="151">
        <f>G30/I30</f>
        <v>84</v>
      </c>
      <c r="K30" s="152">
        <f>J30/$F$1</f>
        <v>0.25404882757978264</v>
      </c>
      <c r="L30" s="179"/>
      <c r="M30" s="182"/>
    </row>
    <row r="31" spans="1:13" s="109" customFormat="1" ht="43.5">
      <c r="A31" s="96" t="s">
        <v>95</v>
      </c>
      <c r="B31" s="118" t="s">
        <v>122</v>
      </c>
      <c r="C31" s="165">
        <v>15500</v>
      </c>
      <c r="D31" s="165">
        <v>250</v>
      </c>
      <c r="E31" s="115">
        <f t="shared" ref="E31" si="18">C31*D31</f>
        <v>3875000</v>
      </c>
      <c r="F31" s="115">
        <f t="shared" si="17"/>
        <v>4262500</v>
      </c>
      <c r="G31" s="148">
        <f>E31+F31</f>
        <v>8137500</v>
      </c>
      <c r="I31" s="151">
        <f>D31*2</f>
        <v>500</v>
      </c>
      <c r="J31" s="151">
        <f t="shared" ref="J31:J32" si="19">G31/I31</f>
        <v>16275</v>
      </c>
      <c r="K31" s="152">
        <f t="shared" ref="K31:K40" si="20">J31/$F$1</f>
        <v>49.221960343582893</v>
      </c>
      <c r="L31" s="179"/>
    </row>
    <row r="32" spans="1:13" s="109" customFormat="1" ht="72.5">
      <c r="A32" s="96" t="s">
        <v>96</v>
      </c>
      <c r="B32" s="118" t="s">
        <v>156</v>
      </c>
      <c r="C32" s="165">
        <v>80</v>
      </c>
      <c r="D32" s="165">
        <v>100000</v>
      </c>
      <c r="E32" s="115">
        <f>C32*D32</f>
        <v>8000000</v>
      </c>
      <c r="F32" s="115">
        <f t="shared" si="17"/>
        <v>8800000</v>
      </c>
      <c r="G32" s="148">
        <f>E32+F32</f>
        <v>16800000</v>
      </c>
      <c r="I32" s="151">
        <f>D32*2</f>
        <v>200000</v>
      </c>
      <c r="J32" s="151">
        <f t="shared" si="19"/>
        <v>84</v>
      </c>
      <c r="K32" s="152">
        <f t="shared" si="20"/>
        <v>0.25404882757978264</v>
      </c>
      <c r="L32" s="179"/>
      <c r="M32" s="182"/>
    </row>
    <row r="33" spans="1:13" s="109" customFormat="1" ht="14.4" customHeight="1">
      <c r="A33" s="138"/>
      <c r="B33" s="188" t="s">
        <v>123</v>
      </c>
      <c r="C33" s="188"/>
      <c r="D33" s="188"/>
      <c r="E33" s="188"/>
      <c r="F33" s="188"/>
      <c r="G33" s="189"/>
      <c r="I33" s="117"/>
      <c r="J33" s="117"/>
      <c r="K33" s="117"/>
      <c r="L33" s="179"/>
    </row>
    <row r="34" spans="1:13" s="109" customFormat="1" ht="72.5">
      <c r="A34" s="96" t="s">
        <v>97</v>
      </c>
      <c r="B34" s="118" t="s">
        <v>157</v>
      </c>
      <c r="C34" s="165">
        <v>350</v>
      </c>
      <c r="D34" s="165">
        <v>10000</v>
      </c>
      <c r="E34" s="115">
        <f>C34*D34</f>
        <v>3500000</v>
      </c>
      <c r="F34" s="115">
        <f t="shared" ref="F34:F36" si="21">E34*1.1</f>
        <v>3850000.0000000005</v>
      </c>
      <c r="G34" s="148">
        <f>E34+F34</f>
        <v>7350000</v>
      </c>
      <c r="I34" s="151">
        <f>D34*2</f>
        <v>20000</v>
      </c>
      <c r="J34" s="151">
        <f t="shared" ref="J34:J36" si="22">G34/I34</f>
        <v>367.5</v>
      </c>
      <c r="K34" s="152">
        <f t="shared" si="20"/>
        <v>1.1114636206615491</v>
      </c>
      <c r="L34" s="179"/>
    </row>
    <row r="35" spans="1:13" s="109" customFormat="1" ht="29">
      <c r="A35" s="96" t="s">
        <v>98</v>
      </c>
      <c r="B35" s="118" t="s">
        <v>158</v>
      </c>
      <c r="C35" s="165">
        <v>13067</v>
      </c>
      <c r="D35" s="165">
        <v>75</v>
      </c>
      <c r="E35" s="115">
        <f>C35*D35</f>
        <v>980025</v>
      </c>
      <c r="F35" s="115">
        <f t="shared" si="21"/>
        <v>1078027.5</v>
      </c>
      <c r="G35" s="148">
        <f>E35+F35</f>
        <v>2058052.5</v>
      </c>
      <c r="I35" s="151">
        <f>D35*2</f>
        <v>150</v>
      </c>
      <c r="J35" s="151">
        <f t="shared" si="22"/>
        <v>13720.35</v>
      </c>
      <c r="K35" s="152">
        <f t="shared" si="20"/>
        <v>41.495700374812749</v>
      </c>
      <c r="L35" s="179"/>
      <c r="M35" s="119"/>
    </row>
    <row r="36" spans="1:13" s="109" customFormat="1" ht="58">
      <c r="A36" s="96" t="s">
        <v>99</v>
      </c>
      <c r="B36" s="118" t="s">
        <v>159</v>
      </c>
      <c r="C36" s="165">
        <v>350</v>
      </c>
      <c r="D36" s="165">
        <v>5000</v>
      </c>
      <c r="E36" s="115">
        <f>C36*D36</f>
        <v>1750000</v>
      </c>
      <c r="F36" s="115">
        <f t="shared" si="21"/>
        <v>1925000.0000000002</v>
      </c>
      <c r="G36" s="148">
        <f>E36+F36</f>
        <v>3675000</v>
      </c>
      <c r="I36" s="151">
        <f>D36*2</f>
        <v>10000</v>
      </c>
      <c r="J36" s="151">
        <f t="shared" si="22"/>
        <v>367.5</v>
      </c>
      <c r="K36" s="152">
        <f t="shared" si="20"/>
        <v>1.1114636206615491</v>
      </c>
      <c r="L36" s="179"/>
    </row>
    <row r="37" spans="1:13" s="109" customFormat="1" ht="14.4" customHeight="1">
      <c r="A37" s="138"/>
      <c r="B37" s="188" t="s">
        <v>124</v>
      </c>
      <c r="C37" s="188"/>
      <c r="D37" s="188"/>
      <c r="E37" s="188"/>
      <c r="F37" s="188"/>
      <c r="G37" s="189"/>
      <c r="I37" s="117"/>
      <c r="J37" s="117"/>
      <c r="K37" s="117"/>
      <c r="L37" s="179"/>
    </row>
    <row r="38" spans="1:13" s="109" customFormat="1" ht="33.65" customHeight="1">
      <c r="A38" s="96" t="s">
        <v>100</v>
      </c>
      <c r="B38" s="118" t="s">
        <v>160</v>
      </c>
      <c r="C38" s="165">
        <v>5000</v>
      </c>
      <c r="D38" s="165">
        <v>400</v>
      </c>
      <c r="E38" s="115">
        <f>C38*D38</f>
        <v>2000000</v>
      </c>
      <c r="F38" s="115">
        <f t="shared" ref="F38:F40" si="23">E38*1.1</f>
        <v>2200000</v>
      </c>
      <c r="G38" s="148">
        <f>E38+F38</f>
        <v>4200000</v>
      </c>
      <c r="I38" s="151">
        <f>D38*2</f>
        <v>800</v>
      </c>
      <c r="J38" s="151">
        <f t="shared" ref="J38:J40" si="24">G38/I38</f>
        <v>5250</v>
      </c>
      <c r="K38" s="152">
        <f t="shared" si="20"/>
        <v>15.878051723736416</v>
      </c>
      <c r="L38" s="179"/>
    </row>
    <row r="39" spans="1:13" s="109" customFormat="1" ht="14.5">
      <c r="A39" s="96" t="s">
        <v>101</v>
      </c>
      <c r="B39" s="154" t="s">
        <v>161</v>
      </c>
      <c r="C39" s="165">
        <v>20000</v>
      </c>
      <c r="D39" s="165">
        <v>200</v>
      </c>
      <c r="E39" s="115">
        <f>C39*D39</f>
        <v>4000000</v>
      </c>
      <c r="F39" s="115">
        <f t="shared" si="23"/>
        <v>4400000</v>
      </c>
      <c r="G39" s="148">
        <f>E39+F39</f>
        <v>8400000</v>
      </c>
      <c r="I39" s="151">
        <f>D39*2</f>
        <v>400</v>
      </c>
      <c r="J39" s="151">
        <f t="shared" si="24"/>
        <v>21000</v>
      </c>
      <c r="K39" s="152">
        <f t="shared" si="20"/>
        <v>63.512206894945663</v>
      </c>
      <c r="L39" s="179"/>
    </row>
    <row r="40" spans="1:13" s="109" customFormat="1" ht="29">
      <c r="A40" s="96" t="s">
        <v>102</v>
      </c>
      <c r="B40" s="118" t="s">
        <v>125</v>
      </c>
      <c r="C40" s="165">
        <v>150000</v>
      </c>
      <c r="D40" s="165">
        <v>5</v>
      </c>
      <c r="E40" s="115">
        <f t="shared" ref="E40" si="25">C40*D40</f>
        <v>750000</v>
      </c>
      <c r="F40" s="115">
        <f t="shared" si="23"/>
        <v>825000.00000000012</v>
      </c>
      <c r="G40" s="148">
        <f>E40+F40</f>
        <v>1575000</v>
      </c>
      <c r="I40" s="151">
        <f>D40*2</f>
        <v>10</v>
      </c>
      <c r="J40" s="151">
        <f t="shared" si="24"/>
        <v>157500</v>
      </c>
      <c r="K40" s="152">
        <f t="shared" si="20"/>
        <v>476.3415517120925</v>
      </c>
      <c r="L40" s="179"/>
    </row>
    <row r="41" spans="1:13" s="109" customFormat="1" ht="36.65" customHeight="1">
      <c r="A41" s="139"/>
      <c r="B41" s="190" t="s">
        <v>126</v>
      </c>
      <c r="C41" s="190"/>
      <c r="D41" s="190"/>
      <c r="E41" s="190"/>
      <c r="F41" s="190"/>
      <c r="G41" s="191"/>
      <c r="I41" s="150"/>
      <c r="J41" s="150"/>
      <c r="K41" s="150"/>
      <c r="L41" s="179"/>
    </row>
    <row r="42" spans="1:13" s="109" customFormat="1" ht="14.4" customHeight="1">
      <c r="A42" s="138"/>
      <c r="B42" s="188" t="s">
        <v>127</v>
      </c>
      <c r="C42" s="188"/>
      <c r="D42" s="188"/>
      <c r="E42" s="188"/>
      <c r="F42" s="188"/>
      <c r="G42" s="189"/>
      <c r="I42" s="117"/>
      <c r="J42" s="117"/>
      <c r="K42" s="117"/>
      <c r="L42" s="179"/>
    </row>
    <row r="43" spans="1:13" s="109" customFormat="1" ht="43.5">
      <c r="A43" s="96" t="s">
        <v>103</v>
      </c>
      <c r="B43" s="118" t="s">
        <v>162</v>
      </c>
      <c r="C43" s="165">
        <v>800000</v>
      </c>
      <c r="D43" s="165">
        <v>3</v>
      </c>
      <c r="E43" s="115">
        <f t="shared" ref="E43:E44" si="26">C43*D43</f>
        <v>2400000</v>
      </c>
      <c r="F43" s="115"/>
      <c r="G43" s="148">
        <f>E43+F43</f>
        <v>2400000</v>
      </c>
      <c r="I43" s="151">
        <f>D43</f>
        <v>3</v>
      </c>
      <c r="J43" s="151">
        <f>G43/I43</f>
        <v>800000</v>
      </c>
      <c r="K43" s="152">
        <f t="shared" ref="K43" si="27">J43/$F$1</f>
        <v>2419.5126436169776</v>
      </c>
      <c r="L43" s="179"/>
    </row>
    <row r="44" spans="1:13" s="109" customFormat="1" ht="14.5">
      <c r="A44" s="96" t="s">
        <v>104</v>
      </c>
      <c r="B44" s="118" t="s">
        <v>149</v>
      </c>
      <c r="C44" s="165">
        <v>1000000</v>
      </c>
      <c r="D44" s="165">
        <v>1</v>
      </c>
      <c r="E44" s="115">
        <f t="shared" si="26"/>
        <v>1000000</v>
      </c>
      <c r="F44" s="115">
        <f t="shared" ref="F44" si="28">E44*1.1</f>
        <v>1100000</v>
      </c>
      <c r="G44" s="148">
        <f>E44+F44</f>
        <v>2100000</v>
      </c>
      <c r="H44" s="119"/>
      <c r="I44" s="151">
        <v>2</v>
      </c>
      <c r="J44" s="151">
        <f>G44/I44</f>
        <v>1050000</v>
      </c>
      <c r="K44" s="152">
        <f>J44/$F$1</f>
        <v>3175.6103447472833</v>
      </c>
      <c r="L44" s="179"/>
    </row>
    <row r="45" spans="1:13" s="109" customFormat="1" ht="14.5">
      <c r="A45" s="140"/>
      <c r="B45" s="118"/>
      <c r="C45" s="165"/>
      <c r="D45" s="165"/>
      <c r="E45" s="115"/>
      <c r="F45" s="115"/>
      <c r="G45" s="148"/>
      <c r="H45" s="119"/>
      <c r="I45" s="151"/>
      <c r="J45" s="151"/>
      <c r="K45" s="152"/>
      <c r="L45" s="179"/>
    </row>
    <row r="46" spans="1:13" s="109" customFormat="1" ht="14.5">
      <c r="A46" s="120"/>
      <c r="B46" s="121" t="s">
        <v>105</v>
      </c>
      <c r="C46" s="168"/>
      <c r="D46" s="168"/>
      <c r="E46" s="122">
        <f>SUM(E27:E45)</f>
        <v>58455025</v>
      </c>
      <c r="F46" s="122">
        <f>SUM(F27:F45)</f>
        <v>52090527.5</v>
      </c>
      <c r="G46" s="122">
        <f>SUM(G27:G45)</f>
        <v>110545552.5</v>
      </c>
      <c r="I46" s="122"/>
      <c r="J46" s="122"/>
      <c r="K46" s="122"/>
      <c r="L46" s="178">
        <f>G46/$G$51</f>
        <v>0.48251758323278965</v>
      </c>
    </row>
    <row r="47" spans="1:13" s="109" customFormat="1" ht="14.5">
      <c r="A47" s="123"/>
      <c r="B47" s="124" t="s">
        <v>142</v>
      </c>
      <c r="C47" s="169"/>
      <c r="D47" s="169"/>
      <c r="E47" s="125">
        <f>E12+E15+E20+E24</f>
        <v>49420000</v>
      </c>
      <c r="F47" s="125">
        <f>F12+F15+F20+F24</f>
        <v>50688000</v>
      </c>
      <c r="G47" s="125">
        <f>G12+G15+G20+G24</f>
        <v>100108000</v>
      </c>
      <c r="I47" s="125"/>
      <c r="J47" s="125"/>
      <c r="K47" s="125"/>
      <c r="L47" s="179"/>
    </row>
    <row r="48" spans="1:13" s="109" customFormat="1" ht="14.5">
      <c r="A48" s="126" t="s">
        <v>106</v>
      </c>
      <c r="B48" s="127" t="s">
        <v>128</v>
      </c>
      <c r="C48" s="170">
        <v>500000</v>
      </c>
      <c r="D48" s="170">
        <v>1</v>
      </c>
      <c r="E48" s="115">
        <v>0</v>
      </c>
      <c r="F48" s="115">
        <f>C48*D48</f>
        <v>500000</v>
      </c>
      <c r="G48" s="148">
        <f>E48+F48</f>
        <v>500000</v>
      </c>
      <c r="I48" s="98">
        <v>1</v>
      </c>
      <c r="J48" s="98">
        <f>G48/I48</f>
        <v>500000</v>
      </c>
      <c r="K48" s="149">
        <f t="shared" ref="K48" si="29">J48/$F$1</f>
        <v>1512.195402260611</v>
      </c>
      <c r="L48" s="178">
        <f>G48/$G$51</f>
        <v>2.1824377929306094E-3</v>
      </c>
    </row>
    <row r="49" spans="1:12" s="109" customFormat="1" ht="14.5">
      <c r="A49" s="128"/>
      <c r="B49" s="129" t="s">
        <v>81</v>
      </c>
      <c r="C49" s="171"/>
      <c r="D49" s="171"/>
      <c r="E49" s="130">
        <f>SUM(E46:E48)</f>
        <v>107875025</v>
      </c>
      <c r="F49" s="130">
        <f t="shared" ref="F49" si="30">SUM(F46:F48)</f>
        <v>103278527.5</v>
      </c>
      <c r="G49" s="130">
        <f>SUM(G46:G48)</f>
        <v>211153552.5</v>
      </c>
      <c r="I49" s="130"/>
      <c r="J49" s="130"/>
      <c r="K49" s="130"/>
      <c r="L49" s="179"/>
    </row>
    <row r="50" spans="1:12" s="109" customFormat="1" ht="14.5">
      <c r="A50" s="8"/>
      <c r="B50" s="131" t="s">
        <v>129</v>
      </c>
      <c r="C50" s="164"/>
      <c r="D50" s="164">
        <v>12</v>
      </c>
      <c r="E50" s="108">
        <f>E49*8.5%</f>
        <v>9169377.125</v>
      </c>
      <c r="F50" s="108">
        <f>F49*8.5%</f>
        <v>8778674.8375000004</v>
      </c>
      <c r="G50" s="147">
        <f>G49*8.5%</f>
        <v>17948051.962500002</v>
      </c>
      <c r="I50" s="151">
        <f t="shared" ref="I50" si="31">D50*2</f>
        <v>24</v>
      </c>
      <c r="J50" s="151">
        <f>G50/I50</f>
        <v>747835.49843750009</v>
      </c>
      <c r="K50" s="152">
        <f>J50/$F$1</f>
        <v>2261.7468047689199</v>
      </c>
      <c r="L50" s="178">
        <f>G50/$G$51</f>
        <v>7.83410138248848E-2</v>
      </c>
    </row>
    <row r="51" spans="1:12" s="109" customFormat="1" ht="14.5">
      <c r="A51" s="132"/>
      <c r="B51" s="133" t="s">
        <v>107</v>
      </c>
      <c r="C51" s="172"/>
      <c r="D51" s="172"/>
      <c r="E51" s="130">
        <f>SUM(E49:E50)</f>
        <v>117044402.125</v>
      </c>
      <c r="F51" s="130">
        <f t="shared" ref="F51" si="32">SUM(F49:F50)</f>
        <v>112057202.33750001</v>
      </c>
      <c r="G51" s="130">
        <f>SUM(G49:G50)</f>
        <v>229101604.46250001</v>
      </c>
      <c r="I51" s="130"/>
      <c r="J51" s="130"/>
      <c r="K51" s="130"/>
      <c r="L51" s="180"/>
    </row>
    <row r="52" spans="1:12">
      <c r="F52" s="174" t="s">
        <v>74</v>
      </c>
      <c r="G52" s="175">
        <f>G51/E1</f>
        <v>7728300.509791024</v>
      </c>
      <c r="I52" s="136"/>
      <c r="J52" s="136"/>
      <c r="K52" s="136"/>
    </row>
    <row r="53" spans="1:12">
      <c r="F53" s="174" t="s">
        <v>111</v>
      </c>
      <c r="G53" s="175">
        <f>G51/F1</f>
        <v>692892.7858374432</v>
      </c>
    </row>
    <row r="54" spans="1:12">
      <c r="G54" s="155" t="e">
        <f>G53=#REF!</f>
        <v>#REF!</v>
      </c>
    </row>
    <row r="55" spans="1:12">
      <c r="F55" s="136" t="s">
        <v>141</v>
      </c>
      <c r="G55" s="136">
        <v>692892.99552299432</v>
      </c>
    </row>
    <row r="56" spans="1:12">
      <c r="G56" s="136">
        <f>G55-G53</f>
        <v>0.20968555111903697</v>
      </c>
    </row>
  </sheetData>
  <mergeCells count="3">
    <mergeCell ref="A4:A5"/>
    <mergeCell ref="A3:D3"/>
    <mergeCell ref="B4:B5"/>
  </mergeCells>
  <phoneticPr fontId="1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7B23-4A02-4449-A4FF-83E1CF52C502}">
  <dimension ref="B2:J15"/>
  <sheetViews>
    <sheetView showGridLines="0" topLeftCell="A2" zoomScale="67" zoomScaleNormal="93" workbookViewId="0">
      <selection activeCell="I14" sqref="I14"/>
    </sheetView>
  </sheetViews>
  <sheetFormatPr defaultRowHeight="14.5"/>
  <cols>
    <col min="3" max="3" width="34.453125" style="1" customWidth="1"/>
    <col min="4" max="5" width="12.453125" customWidth="1"/>
    <col min="9" max="9" width="74.81640625" customWidth="1"/>
    <col min="10" max="10" width="78.453125" customWidth="1"/>
  </cols>
  <sheetData>
    <row r="2" spans="2:10" ht="18">
      <c r="C2" s="83" t="s">
        <v>49</v>
      </c>
    </row>
    <row r="3" spans="2:10" ht="15.5">
      <c r="I3" s="14" t="s">
        <v>73</v>
      </c>
      <c r="J3" s="14"/>
    </row>
    <row r="4" spans="2:10" ht="58">
      <c r="I4" s="86" t="s">
        <v>50</v>
      </c>
      <c r="J4" s="1"/>
    </row>
    <row r="5" spans="2:10" ht="104.25" customHeight="1">
      <c r="I5" s="87" t="s">
        <v>51</v>
      </c>
      <c r="J5" s="15"/>
    </row>
    <row r="6" spans="2:10" ht="83.25" customHeight="1">
      <c r="I6" s="86" t="s">
        <v>52</v>
      </c>
      <c r="J6" s="1"/>
    </row>
    <row r="7" spans="2:10">
      <c r="J7" s="1"/>
    </row>
    <row r="14" spans="2:10">
      <c r="B14" s="16"/>
      <c r="C14" s="84" t="s">
        <v>71</v>
      </c>
    </row>
    <row r="15" spans="2:10">
      <c r="B15" s="17"/>
      <c r="C15" s="84" t="s">
        <v>53</v>
      </c>
    </row>
  </sheetData>
  <pageMargins left="0.7" right="0.7" top="0.75" bottom="0.75" header="0.3" footer="0.3"/>
  <pageSetup paperSize="9" orientation="portrait" r:id="rId1"/>
  <headerFooter>
    <oddFooter>&amp;C_x000D_&amp;1#&amp;"Noto IKEA Latin"&amp;8&amp;K5A5A5A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2DE4-FA90-46F3-B0DF-9A9CC8AB1004}">
  <dimension ref="C3:D20"/>
  <sheetViews>
    <sheetView zoomScale="91" workbookViewId="0">
      <selection activeCell="C14" sqref="C14"/>
    </sheetView>
  </sheetViews>
  <sheetFormatPr defaultRowHeight="14.5"/>
  <cols>
    <col min="3" max="3" width="41.81640625" bestFit="1" customWidth="1"/>
    <col min="4" max="4" width="66.453125" style="23" customWidth="1"/>
    <col min="5" max="5" width="14.453125" bestFit="1" customWidth="1"/>
    <col min="6" max="6" width="21.453125" bestFit="1" customWidth="1"/>
    <col min="7" max="7" width="23.1796875" bestFit="1" customWidth="1"/>
  </cols>
  <sheetData>
    <row r="3" spans="3:4">
      <c r="C3" s="19"/>
      <c r="D3" s="20"/>
    </row>
    <row r="4" spans="3:4">
      <c r="C4" s="19"/>
      <c r="D4" s="20"/>
    </row>
    <row r="5" spans="3:4">
      <c r="C5" s="19"/>
      <c r="D5" s="21"/>
    </row>
    <row r="6" spans="3:4">
      <c r="C6" s="19"/>
      <c r="D6" s="21"/>
    </row>
    <row r="7" spans="3:4">
      <c r="C7" s="19"/>
      <c r="D7" s="20"/>
    </row>
    <row r="8" spans="3:4">
      <c r="C8" s="19"/>
      <c r="D8" s="20"/>
    </row>
    <row r="9" spans="3:4">
      <c r="C9" s="19"/>
      <c r="D9" s="20"/>
    </row>
    <row r="10" spans="3:4">
      <c r="C10" s="19"/>
      <c r="D10" s="20"/>
    </row>
    <row r="11" spans="3:4">
      <c r="C11" s="19"/>
      <c r="D11" s="20"/>
    </row>
    <row r="12" spans="3:4">
      <c r="C12" s="19"/>
      <c r="D12" s="20"/>
    </row>
    <row r="13" spans="3:4">
      <c r="C13" s="22"/>
      <c r="D13" s="21"/>
    </row>
    <row r="14" spans="3:4">
      <c r="C14" s="22"/>
      <c r="D14" s="20"/>
    </row>
    <row r="15" spans="3:4">
      <c r="C15" s="22"/>
      <c r="D15" s="20"/>
    </row>
    <row r="16" spans="3:4">
      <c r="C16" s="22"/>
      <c r="D16" s="20"/>
    </row>
    <row r="17" spans="3:4">
      <c r="C17" s="22"/>
      <c r="D17" s="20"/>
    </row>
    <row r="20" spans="3:4">
      <c r="D20"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92B9A-1139-4111-810E-3D5FEF070AE9}">
  <dimension ref="A2"/>
  <sheetViews>
    <sheetView zoomScale="78" zoomScaleNormal="78" workbookViewId="0">
      <selection activeCell="L21" sqref="L21"/>
    </sheetView>
  </sheetViews>
  <sheetFormatPr defaultRowHeight="14.5"/>
  <sheetData>
    <row r="2" spans="1:1">
      <c r="A2" s="18" t="s">
        <v>48</v>
      </c>
    </row>
  </sheetData>
  <hyperlinks>
    <hyperlink ref="A2" r:id="rId1" display="../../../../../../../../:x:/r/sites/RiskAssessment_RSCProject-CNWorkingGroup/Shared Documents/CN Working Group/External Risk assessment workshop/20250314_RSC Project Risk Log Register_External_Final.xlsx?d=wf573e73d87cc4bcbad2a5aa69257cd5d&amp;csf=1&amp;web=1&amp;e=JdfU3d" xr:uid="{AE74E26E-DB9B-430F-A71C-A581A3592BF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F85B-6DAB-44C7-A7B9-EC8043414495}">
  <dimension ref="A1:E9"/>
  <sheetViews>
    <sheetView zoomScale="108" zoomScaleNormal="108" workbookViewId="0">
      <selection activeCell="C1" sqref="C1"/>
    </sheetView>
  </sheetViews>
  <sheetFormatPr defaultRowHeight="14.5"/>
  <cols>
    <col min="1" max="1" width="33.54296875" customWidth="1"/>
    <col min="2" max="2" width="51.453125" customWidth="1"/>
    <col min="3" max="3" width="16.453125" customWidth="1"/>
    <col min="4" max="4" width="35.1796875" bestFit="1" customWidth="1"/>
    <col min="5" max="5" width="23.54296875" customWidth="1"/>
  </cols>
  <sheetData>
    <row r="1" spans="1:5" s="3" customFormat="1" ht="18.5">
      <c r="A1" s="4" t="s">
        <v>47</v>
      </c>
      <c r="B1" s="5" t="s">
        <v>54</v>
      </c>
      <c r="C1" s="5" t="s">
        <v>55</v>
      </c>
      <c r="D1" s="5" t="s">
        <v>56</v>
      </c>
      <c r="E1" s="6" t="s">
        <v>57</v>
      </c>
    </row>
    <row r="2" spans="1:5" ht="29">
      <c r="A2" s="7" t="s">
        <v>58</v>
      </c>
      <c r="B2" s="2" t="s">
        <v>59</v>
      </c>
      <c r="C2" s="8"/>
      <c r="D2" s="8"/>
      <c r="E2" s="9"/>
    </row>
    <row r="3" spans="1:5" ht="58">
      <c r="A3" s="7" t="s">
        <v>60</v>
      </c>
      <c r="B3" s="2" t="s">
        <v>61</v>
      </c>
      <c r="C3" s="8"/>
      <c r="D3" s="8"/>
      <c r="E3" s="9"/>
    </row>
    <row r="4" spans="1:5" ht="72.5">
      <c r="A4" s="7" t="s">
        <v>62</v>
      </c>
      <c r="B4" s="2" t="s">
        <v>63</v>
      </c>
      <c r="C4" s="8"/>
      <c r="D4" s="8"/>
      <c r="E4" s="9"/>
    </row>
    <row r="5" spans="1:5" ht="29">
      <c r="A5" s="7" t="s">
        <v>64</v>
      </c>
      <c r="B5" s="2" t="s">
        <v>65</v>
      </c>
      <c r="C5" s="8"/>
      <c r="D5" s="8"/>
      <c r="E5" s="9"/>
    </row>
    <row r="6" spans="1:5">
      <c r="A6" s="7" t="s">
        <v>66</v>
      </c>
      <c r="B6" s="2"/>
      <c r="C6" s="8"/>
      <c r="D6" s="8"/>
      <c r="E6" s="9"/>
    </row>
    <row r="7" spans="1:5" ht="43.5">
      <c r="A7" s="7" t="s">
        <v>67</v>
      </c>
      <c r="B7" s="2"/>
      <c r="C7" s="8"/>
      <c r="D7" s="8"/>
      <c r="E7" s="9"/>
    </row>
    <row r="8" spans="1:5" ht="43.5">
      <c r="A8" s="7" t="s">
        <v>68</v>
      </c>
      <c r="B8" s="2" t="s">
        <v>69</v>
      </c>
      <c r="C8" s="8"/>
      <c r="D8" s="8"/>
      <c r="E8" s="9"/>
    </row>
    <row r="9" spans="1:5" ht="43.5">
      <c r="A9" s="10" t="s">
        <v>70</v>
      </c>
      <c r="B9" s="11"/>
      <c r="C9" s="12"/>
      <c r="D9" s="12"/>
      <c r="E9" s="13"/>
    </row>
  </sheetData>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5ECFA1C11FA74F93AC580275B49FB4" ma:contentTypeVersion="17" ma:contentTypeDescription="Create a new document." ma:contentTypeScope="" ma:versionID="86cc7ace9e243318804c936660199d43">
  <xsd:schema xmlns:xsd="http://www.w3.org/2001/XMLSchema" xmlns:xs="http://www.w3.org/2001/XMLSchema" xmlns:p="http://schemas.microsoft.com/office/2006/metadata/properties" xmlns:ns2="b62d7313-ee3f-4e54-b213-a3b337f9498e" xmlns:ns3="95250e36-e01c-476c-9a08-f7be920920f5" targetNamespace="http://schemas.microsoft.com/office/2006/metadata/properties" ma:root="true" ma:fieldsID="2d68744844cb6b21d7703a9b74a89392" ns2:_="" ns3:_="">
    <xsd:import namespace="b62d7313-ee3f-4e54-b213-a3b337f9498e"/>
    <xsd:import namespace="95250e36-e01c-476c-9a08-f7be920920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3:SharedWithUsers" minOccurs="0"/>
                <xsd:element ref="ns3:SharedWithDetails" minOccurs="0"/>
                <xsd:element ref="ns2:Comment" minOccurs="0"/>
                <xsd:element ref="ns2: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d7313-ee3f-4e54-b213-a3b337f94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49d2fe-e341-4380-bd84-5ba410447ca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Comment" ma:index="22" nillable="true" ma:displayName="Comment" ma:format="Dropdown" ma:internalName="Comment">
      <xsd:simpleType>
        <xsd:restriction base="dms:Note">
          <xsd:maxLength value="255"/>
        </xsd:restriction>
      </xsd:simpleType>
    </xsd:element>
    <xsd:element name="Date" ma:index="23" nillable="true" ma:displayName="Date" ma:format="DateOnly" ma:internalName="Date">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50e36-e01c-476c-9a08-f7be920920f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b62d7313-ee3f-4e54-b213-a3b337f9498e" xsi:nil="true"/>
    <lcf76f155ced4ddcb4097134ff3c332f xmlns="b62d7313-ee3f-4e54-b213-a3b337f9498e">
      <Terms xmlns="http://schemas.microsoft.com/office/infopath/2007/PartnerControls"/>
    </lcf76f155ced4ddcb4097134ff3c332f>
    <Comment xmlns="b62d7313-ee3f-4e54-b213-a3b337f949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8EAE1-2368-4FCD-8520-E8050174C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d7313-ee3f-4e54-b213-a3b337f9498e"/>
    <ds:schemaRef ds:uri="95250e36-e01c-476c-9a08-f7be92092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C1C72-557C-4442-8C74-C4FEFB5F04AF}">
  <ds:schemaRefs>
    <ds:schemaRef ds:uri="http://schemas.microsoft.com/office/2006/metadata/properties"/>
    <ds:schemaRef ds:uri="http://schemas.microsoft.com/office/infopath/2007/PartnerControls"/>
    <ds:schemaRef ds:uri="b62d7313-ee3f-4e54-b213-a3b337f9498e"/>
  </ds:schemaRefs>
</ds:datastoreItem>
</file>

<file path=customXml/itemProps3.xml><?xml version="1.0" encoding="utf-8"?>
<ds:datastoreItem xmlns:ds="http://schemas.openxmlformats.org/officeDocument/2006/customXml" ds:itemID="{04DC775A-186C-44E5-88A1-36C8D4E138F2}">
  <ds:schemaRefs>
    <ds:schemaRef ds:uri="http://schemas.microsoft.com/sharepoint/v3/contenttype/forms"/>
  </ds:schemaRefs>
</ds:datastoreItem>
</file>

<file path=docMetadata/LabelInfo.xml><?xml version="1.0" encoding="utf-8"?>
<clbl:labelList xmlns:clbl="http://schemas.microsoft.com/office/2020/mipLabelMetadata">
  <clbl:label id="{0f945650-ec40-41a9-9362-7e2addda4452}" enabled="1" method="Standard" siteId="{a33c6ac4-a52e-45c5-af07-b972df9bd00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1A Activity table for invoi (2)</vt:lpstr>
      <vt:lpstr>Detail Budget</vt:lpstr>
      <vt:lpstr>Revised</vt:lpstr>
      <vt:lpstr>Summary</vt:lpstr>
      <vt:lpstr>V5</vt:lpstr>
      <vt:lpstr>1D Project governance</vt:lpstr>
      <vt:lpstr>1E stakeholders</vt:lpstr>
      <vt:lpstr>Risk mapping</vt:lpstr>
      <vt:lpstr>Deliverables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Alm</dc:creator>
  <cp:keywords/>
  <dc:description/>
  <cp:lastModifiedBy>Muhammad Masood Akhtar</cp:lastModifiedBy>
  <cp:revision/>
  <cp:lastPrinted>2025-09-26T09:40:22Z</cp:lastPrinted>
  <dcterms:created xsi:type="dcterms:W3CDTF">2015-06-05T18:17:20Z</dcterms:created>
  <dcterms:modified xsi:type="dcterms:W3CDTF">2026-02-25T09:17:03Z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0x0101000E5ECFA1C11FA74F93AC580275B49FB4</vt:lpwstr>
  </property>
  <property fmtid="{D5CDD505-2E9C-101B-9397-08002B2CF9AE}" pid="3" name="MediaServiceImageTags">
    <vt:lpwstr/>
  </property>
</Properties>
</file>